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osiak\Desktop\HO\"/>
    </mc:Choice>
  </mc:AlternateContent>
  <xr:revisionPtr revIDLastSave="0" documentId="8_{14BBFA32-4A1F-428D-87EC-76F5BBA34A41}" xr6:coauthVersionLast="43" xr6:coauthVersionMax="43" xr10:uidLastSave="{00000000-0000-0000-0000-000000000000}"/>
  <bookViews>
    <workbookView xWindow="-108" yWindow="-108" windowWidth="23256" windowHeight="12576" tabRatio="1000" firstSheet="1" activeTab="3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externalReferences>
    <externalReference r:id="rId10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1" l="1"/>
  <c r="M27" i="11"/>
  <c r="M25" i="11"/>
  <c r="M23" i="11"/>
  <c r="M22" i="11"/>
  <c r="M21" i="11"/>
  <c r="M19" i="11"/>
  <c r="M18" i="11"/>
  <c r="M17" i="11"/>
  <c r="M16" i="11"/>
  <c r="M15" i="11"/>
  <c r="M9" i="11"/>
  <c r="M10" i="11"/>
  <c r="M11" i="11"/>
  <c r="M12" i="11"/>
  <c r="M13" i="11"/>
  <c r="M8" i="11"/>
  <c r="M7" i="11"/>
  <c r="M4" i="11"/>
  <c r="M5" i="11"/>
  <c r="M6" i="11"/>
  <c r="M3" i="11"/>
  <c r="F22" i="12" l="1"/>
  <c r="O23" i="10"/>
  <c r="F27" i="9"/>
  <c r="F20" i="9"/>
  <c r="F17" i="9"/>
  <c r="F18" i="9" s="1"/>
  <c r="F15" i="9"/>
  <c r="F13" i="9"/>
  <c r="F10" i="9"/>
  <c r="F8" i="9"/>
  <c r="F6" i="9"/>
  <c r="F5" i="9"/>
  <c r="F4" i="9"/>
  <c r="M29" i="8"/>
  <c r="M28" i="8"/>
  <c r="M26" i="8"/>
  <c r="M27" i="8" s="1"/>
  <c r="M25" i="8"/>
  <c r="M24" i="8"/>
  <c r="M23" i="8"/>
  <c r="M22" i="8"/>
  <c r="M21" i="8"/>
  <c r="M19" i="8"/>
  <c r="M17" i="8"/>
  <c r="M16" i="8"/>
  <c r="M14" i="8"/>
  <c r="M15" i="8" s="1"/>
  <c r="M12" i="8"/>
  <c r="M13" i="8" s="1"/>
  <c r="M11" i="8"/>
  <c r="M9" i="8"/>
  <c r="M7" i="8"/>
  <c r="M5" i="8"/>
  <c r="M3" i="8"/>
  <c r="M2" i="8"/>
  <c r="M18" i="8" s="1"/>
  <c r="M6" i="8" l="1"/>
  <c r="M4" i="8"/>
  <c r="M8" i="8"/>
  <c r="M20" i="8"/>
  <c r="M10" i="8"/>
  <c r="N23" i="11" l="1"/>
  <c r="N17" i="8"/>
  <c r="P23" i="8" l="1"/>
  <c r="O23" i="8"/>
  <c r="N7" i="14" l="1"/>
  <c r="Y11" i="1" l="1"/>
  <c r="X11" i="1"/>
  <c r="Y10" i="1"/>
  <c r="X10" i="1"/>
  <c r="Y8" i="1"/>
  <c r="X8" i="1"/>
  <c r="Y7" i="1"/>
  <c r="X7" i="1"/>
  <c r="Y6" i="1"/>
  <c r="X6" i="1"/>
  <c r="Y5" i="1"/>
  <c r="X5" i="1"/>
  <c r="Y3" i="1"/>
  <c r="X3" i="1"/>
  <c r="P6" i="14"/>
  <c r="O6" i="14"/>
  <c r="P5" i="14"/>
  <c r="O5" i="14"/>
  <c r="P4" i="14"/>
  <c r="O4" i="14"/>
  <c r="P3" i="14"/>
  <c r="O3" i="14"/>
  <c r="P2" i="14"/>
  <c r="O2" i="14"/>
  <c r="P27" i="11"/>
  <c r="O27" i="11"/>
  <c r="P26" i="11"/>
  <c r="O26" i="11"/>
  <c r="P25" i="11"/>
  <c r="O25" i="11"/>
  <c r="P23" i="11"/>
  <c r="O23" i="11"/>
  <c r="P22" i="11"/>
  <c r="O22" i="11"/>
  <c r="P21" i="11"/>
  <c r="O21" i="11"/>
  <c r="P19" i="11"/>
  <c r="O19" i="11"/>
  <c r="P18" i="11"/>
  <c r="O18" i="11"/>
  <c r="P17" i="11"/>
  <c r="O17" i="11"/>
  <c r="P16" i="11"/>
  <c r="O16" i="11"/>
  <c r="P15" i="11"/>
  <c r="O15" i="11"/>
  <c r="P13" i="11"/>
  <c r="O13" i="11"/>
  <c r="P12" i="11"/>
  <c r="O12" i="11"/>
  <c r="P11" i="11"/>
  <c r="O11" i="11"/>
  <c r="P10" i="11"/>
  <c r="O10" i="11"/>
  <c r="P9" i="11"/>
  <c r="O9" i="11"/>
  <c r="P8" i="11"/>
  <c r="O8" i="11"/>
  <c r="P7" i="11"/>
  <c r="O7" i="11"/>
  <c r="P6" i="11"/>
  <c r="O6" i="11"/>
  <c r="P5" i="11"/>
  <c r="O5" i="11"/>
  <c r="P4" i="11"/>
  <c r="O4" i="11"/>
  <c r="P3" i="11"/>
  <c r="O3" i="11"/>
  <c r="R29" i="10" l="1"/>
  <c r="Q29" i="10"/>
  <c r="R28" i="10"/>
  <c r="Q27" i="10"/>
  <c r="R26" i="10"/>
  <c r="Q26" i="10"/>
  <c r="R25" i="10"/>
  <c r="Q25" i="10"/>
  <c r="R24" i="10"/>
  <c r="Q24" i="10"/>
  <c r="R23" i="10"/>
  <c r="R22" i="10"/>
  <c r="R21" i="10"/>
  <c r="Q21" i="10"/>
  <c r="Q20" i="10"/>
  <c r="R19" i="10"/>
  <c r="Q19" i="10"/>
  <c r="R18" i="10"/>
  <c r="Q18" i="10"/>
  <c r="R17" i="10"/>
  <c r="Q17" i="10"/>
  <c r="R16" i="10"/>
  <c r="Q16" i="10"/>
  <c r="R14" i="10"/>
  <c r="R13" i="10"/>
  <c r="Q13" i="10"/>
  <c r="R12" i="10"/>
  <c r="Q12" i="10"/>
  <c r="R11" i="10"/>
  <c r="Q11" i="10"/>
  <c r="R10" i="10"/>
  <c r="Q10" i="10"/>
  <c r="R9" i="10"/>
  <c r="Q9" i="10"/>
  <c r="R8" i="10"/>
  <c r="Q8" i="10"/>
  <c r="R7" i="10"/>
  <c r="R6" i="10"/>
  <c r="Q6" i="10"/>
  <c r="R5" i="10"/>
  <c r="Q5" i="10"/>
  <c r="R4" i="10"/>
  <c r="Q4" i="10"/>
  <c r="R3" i="10"/>
  <c r="Q3" i="10"/>
  <c r="P29" i="8"/>
  <c r="O29" i="8"/>
  <c r="P28" i="8"/>
  <c r="O28" i="8"/>
  <c r="P26" i="8"/>
  <c r="O26" i="8"/>
  <c r="P25" i="8"/>
  <c r="O25" i="8"/>
  <c r="P24" i="8"/>
  <c r="O24" i="8"/>
  <c r="P22" i="8"/>
  <c r="O22" i="8"/>
  <c r="P21" i="8"/>
  <c r="O21" i="8"/>
  <c r="P19" i="8"/>
  <c r="O19" i="8"/>
  <c r="P17" i="8"/>
  <c r="O17" i="8"/>
  <c r="P16" i="8"/>
  <c r="O16" i="8"/>
  <c r="P14" i="8"/>
  <c r="O14" i="8"/>
  <c r="P12" i="8"/>
  <c r="O12" i="8"/>
  <c r="P11" i="8"/>
  <c r="O11" i="8"/>
  <c r="P9" i="8"/>
  <c r="O9" i="8"/>
  <c r="P7" i="8"/>
  <c r="P5" i="8"/>
  <c r="P3" i="8"/>
  <c r="P2" i="8"/>
  <c r="O2" i="8"/>
  <c r="N27" i="8"/>
  <c r="N20" i="8"/>
  <c r="N18" i="8"/>
  <c r="N15" i="8"/>
  <c r="N13" i="8"/>
  <c r="N10" i="8"/>
  <c r="N8" i="8"/>
  <c r="N6" i="8"/>
  <c r="N4" i="8"/>
  <c r="X6" i="14" l="1"/>
  <c r="X5" i="14"/>
  <c r="X4" i="14"/>
  <c r="X3" i="14"/>
  <c r="X2" i="14"/>
  <c r="Q23" i="10" l="1"/>
  <c r="Q22" i="10"/>
  <c r="Q28" i="10"/>
  <c r="Q14" i="10"/>
  <c r="Q7" i="10"/>
  <c r="O7" i="8" l="1"/>
  <c r="M7" i="14" l="1"/>
  <c r="O7" i="14" s="1"/>
  <c r="O5" i="8" l="1"/>
  <c r="O3" i="8"/>
  <c r="L26" i="8" l="1"/>
  <c r="L23" i="8"/>
  <c r="L24" i="8"/>
  <c r="L22" i="8"/>
  <c r="L19" i="8"/>
  <c r="L16" i="8"/>
  <c r="L14" i="8"/>
  <c r="L12" i="8"/>
  <c r="L11" i="8"/>
  <c r="L9" i="8"/>
  <c r="L7" i="8"/>
  <c r="L2" i="8" l="1"/>
  <c r="H31" i="12" l="1"/>
  <c r="H30" i="12"/>
  <c r="H29" i="12"/>
  <c r="H27" i="12"/>
  <c r="H26" i="12"/>
  <c r="H25" i="12"/>
  <c r="H24" i="12"/>
  <c r="H20" i="12"/>
  <c r="H19" i="12"/>
  <c r="H16" i="12"/>
  <c r="H14" i="12"/>
  <c r="H8" i="12"/>
  <c r="H29" i="9"/>
  <c r="H24" i="9"/>
  <c r="H23" i="9"/>
  <c r="H22" i="9"/>
  <c r="H21" i="9"/>
  <c r="H16" i="9"/>
  <c r="H14" i="9"/>
  <c r="H12" i="9"/>
  <c r="H11" i="9"/>
  <c r="H7" i="9"/>
  <c r="H5" i="9"/>
  <c r="H26" i="9"/>
  <c r="H19" i="9"/>
  <c r="H17" i="9"/>
  <c r="H9" i="9"/>
  <c r="L28" i="8"/>
  <c r="H28" i="9" s="1"/>
  <c r="L25" i="8"/>
  <c r="H25" i="9" s="1"/>
  <c r="L20" i="8"/>
  <c r="L15" i="8"/>
  <c r="L13" i="8"/>
  <c r="L10" i="8"/>
  <c r="L6" i="8"/>
  <c r="H3" i="9" l="1"/>
  <c r="H2" i="9"/>
  <c r="L8" i="8"/>
  <c r="L4" i="8"/>
  <c r="L18" i="8"/>
  <c r="L27" i="8"/>
  <c r="L13" i="11" l="1"/>
  <c r="L7" i="11" l="1"/>
  <c r="H7" i="12" l="1"/>
  <c r="L25" i="1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H4" i="12" l="1"/>
  <c r="H3" i="12"/>
  <c r="H13" i="12"/>
  <c r="H10" i="12"/>
  <c r="H5" i="12"/>
  <c r="H11" i="12"/>
  <c r="H17" i="12"/>
  <c r="H22" i="12"/>
  <c r="H9" i="12"/>
  <c r="H6" i="12"/>
  <c r="H12" i="12"/>
  <c r="H18" i="12"/>
  <c r="H23" i="12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P7" i="14" s="1"/>
  <c r="F5" i="14"/>
  <c r="R5" i="14" s="1"/>
  <c r="G7" i="14"/>
  <c r="S6" i="14"/>
  <c r="R6" i="14"/>
  <c r="S5" i="14"/>
  <c r="S4" i="14"/>
  <c r="R4" i="14"/>
  <c r="S3" i="14"/>
  <c r="R3" i="14"/>
  <c r="S2" i="14"/>
  <c r="R2" i="14"/>
  <c r="L27" i="10"/>
  <c r="R27" i="10" s="1"/>
  <c r="L20" i="10"/>
  <c r="R20" i="10" s="1"/>
  <c r="I28" i="10"/>
  <c r="I14" i="10"/>
  <c r="O27" i="8"/>
  <c r="G27" i="8"/>
  <c r="J27" i="8"/>
  <c r="P27" i="8" s="1"/>
  <c r="O20" i="8"/>
  <c r="G20" i="8"/>
  <c r="J20" i="8"/>
  <c r="P20" i="8" s="1"/>
  <c r="O18" i="8"/>
  <c r="G18" i="8"/>
  <c r="J18" i="8"/>
  <c r="P18" i="8" s="1"/>
  <c r="O15" i="8"/>
  <c r="G15" i="8"/>
  <c r="J15" i="8"/>
  <c r="P15" i="8" s="1"/>
  <c r="O10" i="8"/>
  <c r="G10" i="8"/>
  <c r="J10" i="8"/>
  <c r="P10" i="8" s="1"/>
  <c r="O8" i="8"/>
  <c r="G8" i="8"/>
  <c r="J8" i="8"/>
  <c r="P8" i="8" s="1"/>
  <c r="O6" i="8"/>
  <c r="G6" i="8"/>
  <c r="J6" i="8"/>
  <c r="P6" i="8" s="1"/>
  <c r="O13" i="8"/>
  <c r="G13" i="8"/>
  <c r="J13" i="8"/>
  <c r="P13" i="8" s="1"/>
  <c r="O4" i="8"/>
  <c r="G4" i="8"/>
  <c r="J4" i="8"/>
  <c r="P4" i="8" s="1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H4" i="9" s="1"/>
  <c r="E27" i="9"/>
  <c r="H27" i="9" s="1"/>
  <c r="E20" i="9"/>
  <c r="H20" i="9" s="1"/>
  <c r="E18" i="9"/>
  <c r="H18" i="9" s="1"/>
  <c r="E15" i="9"/>
  <c r="H15" i="9" s="1"/>
  <c r="E13" i="9"/>
  <c r="H13" i="9" s="1"/>
  <c r="E10" i="9"/>
  <c r="H10" i="9" s="1"/>
  <c r="E8" i="9"/>
  <c r="H8" i="9" s="1"/>
  <c r="E6" i="9"/>
  <c r="H6" i="9" s="1"/>
  <c r="H10" i="8"/>
  <c r="H2" i="14"/>
  <c r="H4" i="14"/>
  <c r="W4" i="14" s="1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X7" i="14" l="1"/>
  <c r="W2" i="14"/>
  <c r="Z2" i="14" s="1"/>
  <c r="W3" i="14"/>
  <c r="Z3" i="14" s="1"/>
  <c r="W5" i="14"/>
  <c r="Z5" i="14" s="1"/>
  <c r="W6" i="14"/>
  <c r="Z6" i="14" s="1"/>
  <c r="F7" i="14"/>
  <c r="H7" i="14"/>
  <c r="U2" i="14"/>
  <c r="U4" i="14"/>
  <c r="U6" i="14"/>
  <c r="U3" i="14"/>
  <c r="U5" i="14"/>
  <c r="Z4" i="14"/>
  <c r="I7" i="14"/>
  <c r="S7" i="14"/>
  <c r="R7" i="14" l="1"/>
  <c r="U7" i="14" s="1"/>
  <c r="W7" i="14"/>
  <c r="Z7" i="14" s="1"/>
</calcChain>
</file>

<file path=xl/sharedStrings.xml><?xml version="1.0" encoding="utf-8"?>
<sst xmlns="http://schemas.openxmlformats.org/spreadsheetml/2006/main" count="286" uniqueCount="172">
  <si>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</si>
  <si>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</si>
  <si>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</si>
  <si>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</si>
  <si>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</si>
  <si>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</si>
  <si>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</si>
  <si>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</si>
  <si>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</si>
  <si>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</si>
  <si>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</si>
  <si>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</si>
  <si>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</si>
  <si>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</si>
  <si>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</si>
  <si>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</si>
  <si>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</si>
  <si>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</si>
  <si>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</si>
  <si>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</si>
  <si>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</si>
  <si>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</si>
  <si>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</si>
  <si>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</si>
  <si>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</si>
  <si>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</si>
  <si>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</si>
  <si>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</si>
  <si>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</si>
  <si>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</si>
  <si>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</si>
  <si>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</si>
  <si>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</si>
  <si>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</si>
  <si>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</si>
  <si>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</si>
  <si>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</si>
  <si>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</si>
  <si>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</si>
  <si>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</si>
  <si>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</si>
  <si>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</si>
  <si>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</si>
  <si>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</si>
  <si>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</si>
  <si>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</si>
  <si>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</si>
  <si>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</si>
  <si>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</si>
  <si>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</si>
  <si>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</si>
  <si>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</si>
  <si>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</si>
  <si>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</si>
  <si>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</si>
  <si>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</si>
  <si>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</si>
  <si>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</si>
  <si>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</si>
  <si>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</si>
  <si>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</si>
  <si>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</si>
  <si>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</si>
  <si>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</si>
  <si>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</si>
  <si>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</si>
  <si>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</si>
  <si>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</si>
  <si>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</si>
  <si>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</si>
  <si>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</si>
  <si>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</si>
  <si>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</si>
  <si>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</si>
  <si>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</si>
  <si>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</si>
  <si>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</si>
  <si>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</si>
  <si>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</si>
  <si>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</si>
  <si>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</si>
  <si>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</si>
  <si>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</si>
  <si>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</si>
  <si>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</si>
  <si>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</si>
  <si>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</si>
  <si>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</si>
  <si>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</si>
  <si>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</si>
  <si>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</si>
  <si>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</si>
  <si>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</si>
  <si>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</si>
  <si>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</si>
  <si>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</si>
  <si>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</si>
  <si>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</si>
  <si>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</si>
  <si>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</si>
  <si>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</si>
  <si>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</si>
  <si>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</si>
  <si>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</si>
  <si>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</si>
  <si>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</si>
  <si>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</si>
  <si>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</si>
  <si>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</si>
  <si>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</si>
  <si>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</si>
  <si>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</si>
  <si>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</si>
  <si>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</si>
  <si>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</si>
  <si>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</si>
  <si>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</si>
  <si>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</si>
  <si>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</si>
  <si>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</si>
  <si>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</si>
  <si>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</si>
  <si>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</si>
  <si>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</si>
  <si>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</si>
  <si>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</si>
  <si>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</si>
  <si>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</si>
  <si>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</si>
  <si>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</si>
  <si>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</si>
  <si>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</si>
  <si>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</si>
  <si>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</si>
  <si>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</si>
  <si>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</si>
  <si>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</si>
  <si>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</si>
  <si>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</si>
  <si>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</si>
  <si>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</si>
  <si>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</si>
  <si>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</si>
  <si>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</si>
  <si>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</si>
  <si>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</si>
  <si>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</si>
  <si>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</si>
  <si>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</si>
  <si>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</si>
  <si>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</si>
  <si>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</si>
  <si>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</si>
  <si>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</si>
  <si>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</si>
  <si>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</si>
  <si>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</si>
  <si>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</si>
  <si>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</si>
  <si>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</si>
  <si>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</si>
  <si>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</si>
  <si>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</si>
  <si>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</si>
  <si>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</si>
  <si>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</si>
  <si>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</si>
  <si>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</si>
  <si>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</si>
  <si>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</si>
  <si>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</si>
  <si>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Stan na dzień: 31.03.2019.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</si>
</sst>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19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10" fontId="0" fillId="0" borderId="0" xfId="27" applyNumberFormat="1" applyFont="1"/>
    <xf numFmtId="4" fontId="7" fillId="2" borderId="0" xfId="27" applyNumberFormat="1" applyFont="1" applyFill="1"/>
    <xf numFmtId="2" fontId="15" fillId="2" borderId="0" xfId="0" applyNumberFormat="1" applyFont="1" applyFill="1"/>
    <xf numFmtId="49" fontId="7" fillId="0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0" fillId="0" borderId="1" xfId="0" applyNumberFormat="1" applyFont="1" applyBorder="1"/>
    <xf numFmtId="165" fontId="8" fillId="0" borderId="0" xfId="27" applyNumberFormat="1" applyFont="1" applyBorder="1"/>
    <xf numFmtId="165" fontId="8" fillId="0" borderId="0" xfId="27" applyNumberFormat="1" applyFont="1" applyFill="1" applyBorder="1"/>
    <xf numFmtId="165" fontId="8" fillId="2" borderId="0" xfId="27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2" fontId="0" fillId="2" borderId="0" xfId="0" applyNumberFormat="1" applyFont="1" applyFill="1" applyBorder="1"/>
    <xf numFmtId="165" fontId="0" fillId="0" borderId="0" xfId="27" applyNumberFormat="1" applyFont="1" applyBorder="1"/>
    <xf numFmtId="2" fontId="0" fillId="0" borderId="1" xfId="0" applyNumberFormat="1" applyFont="1" applyFill="1" applyBorder="1"/>
    <xf numFmtId="2" fontId="0" fillId="2" borderId="1" xfId="0" applyNumberFormat="1" applyFont="1" applyFill="1" applyBorder="1"/>
    <xf numFmtId="165" fontId="0" fillId="0" borderId="1" xfId="27" applyNumberFormat="1" applyFont="1" applyBorder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2" fontId="16" fillId="0" borderId="0" xfId="0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18" fillId="0" borderId="0" xfId="0" applyNumberFormat="1" applyFont="1"/>
  </cellXfs>
  <cellStyles count="385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30.05.2019.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tr/Dropbox/IDEAcraft/Klienci/LUG/Spreadsheet/LUG_Spreadsheet%20-za2018.-23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wyników_FY"/>
      <sheetName val="R_wyników_Q"/>
      <sheetName val="Cashflow_Q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workbookViewId="0"/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453125" bestFit="1" customWidth="1"/>
  </cols>
  <sheetData>
    <row r="17" spans="2:5" s="21" customFormat="1" ht="15.6" x14ac:dyDescent="0.3">
      <c r="B17" s="21" t="s">
        <v>133</v>
      </c>
    </row>
    <row r="19" spans="2:5" x14ac:dyDescent="0.25">
      <c r="B19" t="s">
        <v>138</v>
      </c>
      <c r="D19" s="24" t="s">
        <v>136</v>
      </c>
      <c r="E19" s="24" t="s">
        <v>137</v>
      </c>
    </row>
    <row r="20" spans="2:5" x14ac:dyDescent="0.25">
      <c r="B20" s="24" t="s">
        <v>49</v>
      </c>
    </row>
    <row r="21" spans="2:5" x14ac:dyDescent="0.25">
      <c r="B21" t="s">
        <v>139</v>
      </c>
      <c r="D21" s="24" t="s">
        <v>136</v>
      </c>
      <c r="E21" s="24" t="s">
        <v>137</v>
      </c>
    </row>
    <row r="22" spans="2:5" x14ac:dyDescent="0.25">
      <c r="B22" s="24" t="s">
        <v>72</v>
      </c>
    </row>
    <row r="23" spans="2:5" x14ac:dyDescent="0.25">
      <c r="B23" s="24" t="s">
        <v>134</v>
      </c>
    </row>
    <row r="24" spans="2:5" x14ac:dyDescent="0.25">
      <c r="B24" s="24" t="s">
        <v>135</v>
      </c>
    </row>
    <row r="26" spans="2:5" ht="15.6" x14ac:dyDescent="0.3">
      <c r="B26" s="21" t="s">
        <v>140</v>
      </c>
    </row>
    <row r="28" spans="2:5" x14ac:dyDescent="0.25">
      <c r="B28" s="25" t="s">
        <v>141</v>
      </c>
      <c r="D28" t="s">
        <v>142</v>
      </c>
    </row>
    <row r="29" spans="2:5" x14ac:dyDescent="0.25">
      <c r="B29" s="25" t="s">
        <v>143</v>
      </c>
      <c r="D29" t="s">
        <v>146</v>
      </c>
    </row>
    <row r="30" spans="2:5" x14ac:dyDescent="0.25">
      <c r="B30" s="25" t="s">
        <v>144</v>
      </c>
      <c r="D30" t="s">
        <v>150</v>
      </c>
    </row>
    <row r="31" spans="2:5" x14ac:dyDescent="0.25">
      <c r="B31" s="25" t="s">
        <v>145</v>
      </c>
      <c r="D31" t="s">
        <v>147</v>
      </c>
    </row>
    <row r="32" spans="2:5" x14ac:dyDescent="0.25">
      <c r="B32" s="25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zoomScaleNormal="100" workbookViewId="0">
      <pane xSplit="1" ySplit="1" topLeftCell="L20" activePane="bottomRight" state="frozenSplit"/>
      <selection sqref="A1:XFD1"/>
      <selection pane="topRight" activeCell="B1" sqref="B1"/>
      <selection pane="bottomLeft"/>
      <selection pane="bottomRight" activeCell="M15" sqref="M15"/>
    </sheetView>
  </sheetViews>
  <sheetFormatPr defaultColWidth="10.54296875" defaultRowHeight="15" x14ac:dyDescent="0.25"/>
  <cols>
    <col min="1" max="1" width="51.81640625" style="1" customWidth="1"/>
    <col min="2" max="4" width="10.54296875" style="1"/>
    <col min="5" max="5" width="10.54296875" style="32"/>
    <col min="6" max="6" width="10.54296875" style="1"/>
    <col min="7" max="13" width="10.54296875" style="32"/>
    <col min="14" max="14" width="10.54296875" style="8"/>
    <col min="15" max="16" width="10.54296875" style="3"/>
    <col min="17" max="17" width="10.54296875" style="1" customWidth="1"/>
    <col min="18" max="18" width="10.54296875" style="1"/>
    <col min="19" max="19" width="11.54296875" style="1" bestFit="1" customWidth="1"/>
    <col min="20" max="16384" width="10.54296875" style="1"/>
  </cols>
  <sheetData>
    <row r="1" spans="1:19" s="4" customFormat="1" ht="15.6" x14ac:dyDescent="0.3">
      <c r="A1" s="6" t="s">
        <v>116</v>
      </c>
      <c r="B1" s="4" t="s">
        <v>101</v>
      </c>
      <c r="C1" s="4" t="s">
        <v>102</v>
      </c>
      <c r="D1" s="4" t="s">
        <v>103</v>
      </c>
      <c r="E1" s="31" t="s">
        <v>104</v>
      </c>
      <c r="F1" s="4" t="s">
        <v>105</v>
      </c>
      <c r="G1" s="31" t="s">
        <v>151</v>
      </c>
      <c r="H1" s="31" t="s">
        <v>153</v>
      </c>
      <c r="I1" s="31" t="s">
        <v>157</v>
      </c>
      <c r="J1" s="31" t="s">
        <v>158</v>
      </c>
      <c r="K1" s="31" t="s">
        <v>160</v>
      </c>
      <c r="L1" s="31" t="s">
        <v>163</v>
      </c>
      <c r="M1" s="31" t="s">
        <v>165</v>
      </c>
      <c r="N1" s="7" t="s">
        <v>169</v>
      </c>
      <c r="O1" s="4" t="s">
        <v>78</v>
      </c>
      <c r="P1" s="4" t="s">
        <v>77</v>
      </c>
    </row>
    <row r="2" spans="1:19" s="4" customFormat="1" ht="15.6" x14ac:dyDescent="0.3">
      <c r="A2" s="4" t="s">
        <v>11</v>
      </c>
      <c r="B2" s="4">
        <v>22.048819999999999</v>
      </c>
      <c r="C2" s="4">
        <v>31.13747</v>
      </c>
      <c r="D2" s="4">
        <v>33.396149999999999</v>
      </c>
      <c r="E2" s="31">
        <v>34.274999999999999</v>
      </c>
      <c r="F2" s="4">
        <v>30.470009999999998</v>
      </c>
      <c r="G2" s="31">
        <v>33.31</v>
      </c>
      <c r="H2" s="31">
        <v>39.24</v>
      </c>
      <c r="I2" s="31">
        <v>39.279990000000005</v>
      </c>
      <c r="J2" s="31">
        <v>35</v>
      </c>
      <c r="K2" s="31">
        <v>41.66</v>
      </c>
      <c r="L2" s="31">
        <f>119.6-J2-K2</f>
        <v>42.94</v>
      </c>
      <c r="M2" s="31">
        <f>[1]R_wyników_FY!F2-[1]R_wyników_Q!J2-K2-L2</f>
        <v>51.19</v>
      </c>
      <c r="N2" s="7">
        <v>42.05</v>
      </c>
      <c r="O2" s="5">
        <f>N2/M2-1</f>
        <v>-0.17855049814416879</v>
      </c>
      <c r="P2" s="5">
        <f>N2/J2-1</f>
        <v>0.20142857142857129</v>
      </c>
      <c r="R2" s="31"/>
    </row>
    <row r="3" spans="1:19" ht="15.6" x14ac:dyDescent="0.3">
      <c r="A3" s="1" t="s">
        <v>106</v>
      </c>
      <c r="B3" s="1">
        <v>9.39</v>
      </c>
      <c r="C3" s="1">
        <v>13.754</v>
      </c>
      <c r="D3" s="1">
        <v>17.039000000000001</v>
      </c>
      <c r="E3" s="32">
        <v>15.42</v>
      </c>
      <c r="F3" s="1">
        <v>12.83620136</v>
      </c>
      <c r="G3" s="32">
        <v>13.89</v>
      </c>
      <c r="H3" s="32">
        <v>16.04</v>
      </c>
      <c r="I3" s="32">
        <v>19.190000000000001</v>
      </c>
      <c r="J3" s="32">
        <v>14.61</v>
      </c>
      <c r="K3" s="32">
        <v>20.98</v>
      </c>
      <c r="L3" s="32">
        <v>24.77</v>
      </c>
      <c r="M3" s="32">
        <f>[1]R_wyników_FY!F3-[1]R_wyników_Q!J3-K3-L3</f>
        <v>21.06</v>
      </c>
      <c r="N3" s="8">
        <v>14</v>
      </c>
      <c r="O3" s="3">
        <f>N3/M3-1</f>
        <v>-0.33523266856600187</v>
      </c>
      <c r="P3" s="3">
        <f>N3/J3-1</f>
        <v>-4.1752224503764479E-2</v>
      </c>
      <c r="R3" s="32"/>
      <c r="S3" s="4"/>
    </row>
    <row r="4" spans="1:19" s="2" customFormat="1" ht="15.6" x14ac:dyDescent="0.3">
      <c r="A4" s="2" t="s">
        <v>107</v>
      </c>
      <c r="B4" s="2">
        <f t="shared" ref="B4:G4" si="0">B3/B2</f>
        <v>0.42587313062558452</v>
      </c>
      <c r="C4" s="2">
        <f t="shared" si="0"/>
        <v>0.44171861104964533</v>
      </c>
      <c r="D4" s="2">
        <f t="shared" si="0"/>
        <v>0.51020851205902484</v>
      </c>
      <c r="E4" s="33">
        <f t="shared" si="0"/>
        <v>0.44989059080962801</v>
      </c>
      <c r="F4" s="2">
        <f t="shared" si="0"/>
        <v>0.42127329003173947</v>
      </c>
      <c r="G4" s="33">
        <f t="shared" si="0"/>
        <v>0.41699189432602823</v>
      </c>
      <c r="H4" s="33">
        <f t="shared" ref="H4:N4" si="1">H3/H2</f>
        <v>0.40876656472986744</v>
      </c>
      <c r="I4" s="33">
        <f t="shared" si="1"/>
        <v>0.48854391256209584</v>
      </c>
      <c r="J4" s="33">
        <f>J3/J2</f>
        <v>0.41742857142857143</v>
      </c>
      <c r="K4" s="33">
        <f>K3/K2</f>
        <v>0.50360057609217479</v>
      </c>
      <c r="L4" s="62">
        <f>L3/L2</f>
        <v>0.57685142058686545</v>
      </c>
      <c r="M4" s="62">
        <f t="shared" ref="M4" si="2">M3/M2</f>
        <v>0.41140847821840204</v>
      </c>
      <c r="N4" s="63">
        <f t="shared" si="1"/>
        <v>0.33293697978596909</v>
      </c>
      <c r="O4" s="2">
        <f>N4-M4</f>
        <v>-7.8471498432432951E-2</v>
      </c>
      <c r="P4" s="2">
        <f>N4-J4</f>
        <v>-8.4491591642602337E-2</v>
      </c>
      <c r="R4" s="33"/>
      <c r="S4" s="4"/>
    </row>
    <row r="5" spans="1:19" ht="15.6" x14ac:dyDescent="0.3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32">
        <v>18.86</v>
      </c>
      <c r="F5" s="1">
        <v>17.633808640000002</v>
      </c>
      <c r="G5" s="32">
        <v>19.420000000000002</v>
      </c>
      <c r="H5" s="32">
        <v>23.2</v>
      </c>
      <c r="I5" s="32">
        <v>20.09</v>
      </c>
      <c r="J5" s="32">
        <v>20.39</v>
      </c>
      <c r="K5" s="32">
        <v>20.68</v>
      </c>
      <c r="L5" s="32">
        <v>18.170000000000002</v>
      </c>
      <c r="M5" s="32">
        <f>[1]R_wyników_FY!F5-[1]R_wyników_Q!J5-K5-L5</f>
        <v>30.130000000000003</v>
      </c>
      <c r="N5" s="8">
        <v>28.05</v>
      </c>
      <c r="O5" s="3">
        <f>N5/M5-1</f>
        <v>-6.9034185197477616E-2</v>
      </c>
      <c r="P5" s="3">
        <f>N5/J5-1</f>
        <v>0.37567435017165285</v>
      </c>
      <c r="R5" s="32"/>
      <c r="S5" s="4"/>
    </row>
    <row r="6" spans="1:19" s="2" customFormat="1" ht="15.6" x14ac:dyDescent="0.3">
      <c r="A6" s="2" t="s">
        <v>109</v>
      </c>
      <c r="B6" s="2">
        <f t="shared" ref="B6:N6" si="3">B5/B2</f>
        <v>0.57413503307660008</v>
      </c>
      <c r="C6" s="2">
        <f t="shared" si="3"/>
        <v>0.55826629459618904</v>
      </c>
      <c r="D6" s="2">
        <f t="shared" si="3"/>
        <v>0.48978699640527423</v>
      </c>
      <c r="E6" s="33">
        <f t="shared" si="3"/>
        <v>0.55025528811086799</v>
      </c>
      <c r="F6" s="2">
        <f t="shared" si="3"/>
        <v>0.5787267099682607</v>
      </c>
      <c r="G6" s="33">
        <f t="shared" si="3"/>
        <v>0.58300810567397177</v>
      </c>
      <c r="H6" s="33">
        <f t="shared" si="3"/>
        <v>0.5912334352701325</v>
      </c>
      <c r="I6" s="33">
        <f t="shared" si="3"/>
        <v>0.51145634202045365</v>
      </c>
      <c r="J6" s="33">
        <f t="shared" si="3"/>
        <v>0.58257142857142863</v>
      </c>
      <c r="K6" s="33">
        <f t="shared" si="3"/>
        <v>0.49639942390782527</v>
      </c>
      <c r="L6" s="62">
        <f t="shared" si="3"/>
        <v>0.42314857941313466</v>
      </c>
      <c r="M6" s="62">
        <f t="shared" si="3"/>
        <v>0.58859152178159801</v>
      </c>
      <c r="N6" s="63">
        <f t="shared" si="3"/>
        <v>0.66706302021403097</v>
      </c>
      <c r="O6" s="2">
        <f>N6-M6</f>
        <v>7.8471498432432951E-2</v>
      </c>
      <c r="P6" s="2">
        <f>N6-J6</f>
        <v>8.4491591642602337E-2</v>
      </c>
      <c r="S6" s="4"/>
    </row>
    <row r="7" spans="1:19" ht="15.6" x14ac:dyDescent="0.3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32">
        <v>20.689</v>
      </c>
      <c r="F7" s="1">
        <v>18.545750000000002</v>
      </c>
      <c r="G7" s="32">
        <v>20.45</v>
      </c>
      <c r="H7" s="32">
        <v>21.03</v>
      </c>
      <c r="I7" s="32">
        <v>20.414249999999996</v>
      </c>
      <c r="J7" s="32">
        <v>20.77</v>
      </c>
      <c r="K7" s="32">
        <v>24.17</v>
      </c>
      <c r="L7" s="32">
        <f>67.67-J7-K7</f>
        <v>22.730000000000004</v>
      </c>
      <c r="M7" s="32">
        <f>[1]R_wyników_FY!F7-[1]R_wyników_Q!J7-K7-L7</f>
        <v>32.399999999999991</v>
      </c>
      <c r="N7" s="8">
        <v>24.8</v>
      </c>
      <c r="O7" s="3">
        <f>N7/M7-1</f>
        <v>-0.23456790123456772</v>
      </c>
      <c r="P7" s="3">
        <f>N7/J7-1</f>
        <v>0.19402985074626877</v>
      </c>
      <c r="S7" s="4"/>
    </row>
    <row r="8" spans="1:19" s="2" customFormat="1" ht="15.6" x14ac:dyDescent="0.3">
      <c r="A8" s="2" t="s">
        <v>115</v>
      </c>
      <c r="B8" s="2">
        <f t="shared" ref="B8:G8" si="4">B7/B2</f>
        <v>0.65038627917503067</v>
      </c>
      <c r="C8" s="2">
        <f t="shared" si="4"/>
        <v>0.59023260399769151</v>
      </c>
      <c r="D8" s="2">
        <f t="shared" si="4"/>
        <v>0.60543984860530342</v>
      </c>
      <c r="E8" s="33">
        <f t="shared" si="4"/>
        <v>0.60361779722830056</v>
      </c>
      <c r="F8" s="2">
        <f t="shared" si="4"/>
        <v>0.60865585538042166</v>
      </c>
      <c r="G8" s="33">
        <f t="shared" si="4"/>
        <v>0.61392975082557788</v>
      </c>
      <c r="H8" s="33">
        <f t="shared" ref="H8:N8" si="5">H7/H2</f>
        <v>0.53593272171253825</v>
      </c>
      <c r="I8" s="33">
        <f t="shared" si="5"/>
        <v>0.51971118118920079</v>
      </c>
      <c r="J8" s="33">
        <f>J7/J2</f>
        <v>0.59342857142857142</v>
      </c>
      <c r="K8" s="33">
        <f>K7/K2</f>
        <v>0.58017282765242451</v>
      </c>
      <c r="L8" s="33">
        <f>L7/L2</f>
        <v>0.52934326967862144</v>
      </c>
      <c r="M8" s="33">
        <f t="shared" ref="M8" si="6">M7/M2</f>
        <v>0.63293612033600299</v>
      </c>
      <c r="N8" s="9">
        <f t="shared" si="5"/>
        <v>0.58977407847800245</v>
      </c>
      <c r="O8" s="2">
        <f>N8-M8</f>
        <v>-4.3162041858000544E-2</v>
      </c>
      <c r="P8" s="2">
        <f>N8-J8</f>
        <v>-3.6544929505689661E-3</v>
      </c>
      <c r="S8" s="4"/>
    </row>
    <row r="9" spans="1:19" s="4" customFormat="1" ht="15.6" x14ac:dyDescent="0.3">
      <c r="A9" s="4" t="s">
        <v>13</v>
      </c>
      <c r="B9" s="4">
        <v>7.7085699999999999</v>
      </c>
      <c r="C9" s="4">
        <v>12.759119999999999</v>
      </c>
      <c r="D9" s="4">
        <v>13.17679</v>
      </c>
      <c r="E9" s="31">
        <v>13.586</v>
      </c>
      <c r="F9" s="4">
        <v>11.92426</v>
      </c>
      <c r="G9" s="31">
        <v>12.86</v>
      </c>
      <c r="H9" s="31">
        <v>18.21</v>
      </c>
      <c r="I9" s="31">
        <v>18.865739999999995</v>
      </c>
      <c r="J9" s="31">
        <v>14.23</v>
      </c>
      <c r="K9" s="31">
        <v>17.48</v>
      </c>
      <c r="L9" s="31">
        <f>51.92-J9-K9</f>
        <v>20.209999999999997</v>
      </c>
      <c r="M9" s="31">
        <f>[1]R_wyników_FY!F9-[1]R_wyników_Q!J9-K9-L9</f>
        <v>18.799999999999994</v>
      </c>
      <c r="N9" s="7">
        <v>17.25</v>
      </c>
      <c r="O9" s="5">
        <f>N9/M9-1</f>
        <v>-8.2446808510638014E-2</v>
      </c>
      <c r="P9" s="5">
        <f>N9/J9-1</f>
        <v>0.21222768798313418</v>
      </c>
    </row>
    <row r="10" spans="1:19" s="2" customFormat="1" ht="15.6" x14ac:dyDescent="0.3">
      <c r="A10" s="2" t="s">
        <v>83</v>
      </c>
      <c r="B10" s="2">
        <f t="shared" ref="B10:G10" si="7">B9/B2</f>
        <v>0.34961372082496933</v>
      </c>
      <c r="C10" s="2">
        <f t="shared" si="7"/>
        <v>0.40976739600230844</v>
      </c>
      <c r="D10" s="2">
        <f t="shared" si="7"/>
        <v>0.39456015139469675</v>
      </c>
      <c r="E10" s="33">
        <f t="shared" si="7"/>
        <v>0.3963822027716995</v>
      </c>
      <c r="F10" s="2">
        <f t="shared" si="7"/>
        <v>0.39134414461957845</v>
      </c>
      <c r="G10" s="33">
        <f t="shared" si="7"/>
        <v>0.38607024917442206</v>
      </c>
      <c r="H10" s="33">
        <f t="shared" ref="H10:N10" si="8">H9/H2</f>
        <v>0.46406727828746175</v>
      </c>
      <c r="I10" s="33">
        <f t="shared" si="8"/>
        <v>0.48028881881079888</v>
      </c>
      <c r="J10" s="33">
        <f t="shared" si="8"/>
        <v>0.40657142857142858</v>
      </c>
      <c r="K10" s="33">
        <f t="shared" si="8"/>
        <v>0.41958713394143066</v>
      </c>
      <c r="L10" s="33">
        <f t="shared" si="8"/>
        <v>0.47065673032137861</v>
      </c>
      <c r="M10" s="33">
        <f t="shared" si="8"/>
        <v>0.36725923031842145</v>
      </c>
      <c r="N10" s="9">
        <f t="shared" si="8"/>
        <v>0.41022592152199766</v>
      </c>
      <c r="O10" s="2">
        <f>N10-M10</f>
        <v>4.2966691203576213E-2</v>
      </c>
      <c r="P10" s="2">
        <f>N10-J10</f>
        <v>3.6544929505690771E-3</v>
      </c>
      <c r="S10" s="4"/>
    </row>
    <row r="11" spans="1:19" ht="15.6" x14ac:dyDescent="0.3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32">
        <v>1.0029999999999999</v>
      </c>
      <c r="F11" s="1">
        <v>0.39810000000000001</v>
      </c>
      <c r="G11" s="32">
        <v>0.27</v>
      </c>
      <c r="H11" s="32">
        <v>0.63</v>
      </c>
      <c r="I11" s="32">
        <v>2.0019</v>
      </c>
      <c r="J11" s="32">
        <v>0.89</v>
      </c>
      <c r="K11" s="32">
        <v>0.32</v>
      </c>
      <c r="L11" s="32">
        <f>1.69-J11-K11</f>
        <v>0.47999999999999993</v>
      </c>
      <c r="M11" s="32">
        <f>[1]R_wyników_FY!F11-[1]R_wyników_Q!J11-K11-L11</f>
        <v>1.3499999999999999</v>
      </c>
      <c r="N11" s="8">
        <v>0.44</v>
      </c>
      <c r="O11" s="3">
        <f t="shared" ref="O11:O12" si="9">N11/M11-1</f>
        <v>-0.67407407407407405</v>
      </c>
      <c r="P11" s="3">
        <f t="shared" ref="P11:P12" si="10">N11/J11-1</f>
        <v>-0.5056179775280899</v>
      </c>
      <c r="S11" s="4"/>
    </row>
    <row r="12" spans="1:19" ht="15.6" x14ac:dyDescent="0.3">
      <c r="A12" s="1" t="s">
        <v>15</v>
      </c>
      <c r="B12" s="1">
        <v>5.5493600000000001</v>
      </c>
      <c r="C12" s="1">
        <v>7.50021</v>
      </c>
      <c r="D12" s="1">
        <v>8.3685799999999997</v>
      </c>
      <c r="E12" s="32">
        <v>8.99</v>
      </c>
      <c r="F12" s="1">
        <v>6.9743899999999996</v>
      </c>
      <c r="G12" s="32">
        <v>7.64</v>
      </c>
      <c r="H12" s="32">
        <v>11.76</v>
      </c>
      <c r="I12" s="32">
        <v>9.8556099999999969</v>
      </c>
      <c r="J12" s="32">
        <v>9.5399999999999991</v>
      </c>
      <c r="K12" s="32">
        <v>10.95</v>
      </c>
      <c r="L12" s="32">
        <f>32.73-J12-K12</f>
        <v>12.239999999999998</v>
      </c>
      <c r="M12" s="32">
        <f>[1]R_wyników_FY!F12-[1]R_wyników_Q!J12-K12-L12</f>
        <v>10.240000000000002</v>
      </c>
      <c r="N12" s="8">
        <v>10.19</v>
      </c>
      <c r="O12" s="3">
        <f t="shared" si="9"/>
        <v>-4.882812500000222E-3</v>
      </c>
      <c r="P12" s="3">
        <f t="shared" si="10"/>
        <v>6.8134171907756835E-2</v>
      </c>
      <c r="S12" s="4"/>
    </row>
    <row r="13" spans="1:19" s="2" customFormat="1" ht="15.6" x14ac:dyDescent="0.3">
      <c r="A13" s="2" t="s">
        <v>80</v>
      </c>
      <c r="B13" s="2">
        <f t="shared" ref="B13:N13" si="11">B12/B2</f>
        <v>0.25168512419258721</v>
      </c>
      <c r="C13" s="2">
        <f t="shared" si="11"/>
        <v>0.24087409799190493</v>
      </c>
      <c r="D13" s="2">
        <f t="shared" si="11"/>
        <v>0.25058517224290822</v>
      </c>
      <c r="E13" s="33">
        <f t="shared" si="11"/>
        <v>0.26229029905178702</v>
      </c>
      <c r="F13" s="2">
        <f t="shared" si="11"/>
        <v>0.22889359077991769</v>
      </c>
      <c r="G13" s="33">
        <f t="shared" si="11"/>
        <v>0.22936055238667064</v>
      </c>
      <c r="H13" s="33">
        <f t="shared" si="11"/>
        <v>0.29969418960244648</v>
      </c>
      <c r="I13" s="33">
        <f t="shared" si="11"/>
        <v>0.25090663210453962</v>
      </c>
      <c r="J13" s="33">
        <f t="shared" si="11"/>
        <v>0.27257142857142852</v>
      </c>
      <c r="K13" s="33">
        <f t="shared" si="11"/>
        <v>0.2628420547287566</v>
      </c>
      <c r="L13" s="33">
        <f t="shared" si="11"/>
        <v>0.28504890544946437</v>
      </c>
      <c r="M13" s="33">
        <f t="shared" si="11"/>
        <v>0.20003907013088498</v>
      </c>
      <c r="N13" s="9">
        <f t="shared" si="11"/>
        <v>0.2423305588585018</v>
      </c>
      <c r="O13" s="2">
        <f>N13-M13</f>
        <v>4.2291488727616816E-2</v>
      </c>
      <c r="P13" s="2">
        <f>N13-J13</f>
        <v>-3.0240869712926721E-2</v>
      </c>
      <c r="S13" s="4"/>
    </row>
    <row r="14" spans="1:19" ht="15.6" x14ac:dyDescent="0.3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32">
        <v>2.8969999999999998</v>
      </c>
      <c r="F14" s="1">
        <v>4.37737</v>
      </c>
      <c r="G14" s="32">
        <v>4.18</v>
      </c>
      <c r="H14" s="32">
        <v>5.0599999999999996</v>
      </c>
      <c r="I14" s="32">
        <v>6.2626300000000006</v>
      </c>
      <c r="J14" s="32">
        <v>4.72</v>
      </c>
      <c r="K14" s="32">
        <v>4.67</v>
      </c>
      <c r="L14" s="32">
        <f>14.88-J14-K14</f>
        <v>5.49</v>
      </c>
      <c r="M14" s="32">
        <f>[1]R_wyników_FY!F14-[1]R_wyników_Q!J14-K14-L14</f>
        <v>5.3800000000000026</v>
      </c>
      <c r="N14" s="8">
        <v>5.62</v>
      </c>
      <c r="O14" s="64">
        <f>N14/M14-1</f>
        <v>4.4609665427508771E-2</v>
      </c>
      <c r="P14" s="3">
        <f>N14/J14-1</f>
        <v>0.19067796610169507</v>
      </c>
      <c r="R14" s="39"/>
      <c r="S14" s="4"/>
    </row>
    <row r="15" spans="1:19" s="2" customFormat="1" ht="15.6" x14ac:dyDescent="0.3">
      <c r="A15" s="2" t="s">
        <v>81</v>
      </c>
      <c r="B15" s="2">
        <f t="shared" ref="B15:G15" si="12">B14/B2</f>
        <v>0.13549069746136075</v>
      </c>
      <c r="C15" s="2">
        <f t="shared" si="12"/>
        <v>0.13459828303327148</v>
      </c>
      <c r="D15" s="2">
        <f t="shared" si="12"/>
        <v>7.9319023300590041E-2</v>
      </c>
      <c r="E15" s="33">
        <f t="shared" si="12"/>
        <v>8.4522246535375642E-2</v>
      </c>
      <c r="F15" s="2">
        <f t="shared" si="12"/>
        <v>0.14366158724595102</v>
      </c>
      <c r="G15" s="33">
        <f t="shared" si="12"/>
        <v>0.12548784148904232</v>
      </c>
      <c r="H15" s="33">
        <f t="shared" ref="H15:N15" si="13">H14/H2</f>
        <v>0.12895005096839957</v>
      </c>
      <c r="I15" s="33">
        <f t="shared" si="13"/>
        <v>0.15943563122088369</v>
      </c>
      <c r="J15" s="33">
        <f>J14/J2</f>
        <v>0.13485714285714284</v>
      </c>
      <c r="K15" s="33">
        <f>K14/K2</f>
        <v>0.11209793566970716</v>
      </c>
      <c r="L15" s="33">
        <f>L14/L2</f>
        <v>0.12785281788542152</v>
      </c>
      <c r="M15" s="33">
        <f t="shared" ref="M15" si="14">M14/M2</f>
        <v>0.10509865208048452</v>
      </c>
      <c r="N15" s="9">
        <f t="shared" si="13"/>
        <v>0.13365041617122475</v>
      </c>
      <c r="O15" s="2">
        <f>N15-M15</f>
        <v>2.8551764090740228E-2</v>
      </c>
      <c r="P15" s="2">
        <f>N15-J15</f>
        <v>-1.2067266859180914E-3</v>
      </c>
      <c r="S15" s="4"/>
    </row>
    <row r="16" spans="1:19" ht="15.6" x14ac:dyDescent="0.3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32">
        <v>-0.67600000000000005</v>
      </c>
      <c r="F16" s="1">
        <v>0.26418999999999998</v>
      </c>
      <c r="G16" s="32">
        <v>0.2</v>
      </c>
      <c r="H16" s="32">
        <v>0.3</v>
      </c>
      <c r="I16" s="32">
        <v>1.0358100000000001</v>
      </c>
      <c r="J16" s="32">
        <v>0.05</v>
      </c>
      <c r="K16" s="32">
        <v>0.28999999999999998</v>
      </c>
      <c r="L16" s="32">
        <f>0.65-J16-K16</f>
        <v>0.31</v>
      </c>
      <c r="M16" s="32">
        <f>[1]R_wyników_FY!F16-[1]R_wyników_Q!J16-K16-L16</f>
        <v>0.86999999999999988</v>
      </c>
      <c r="N16" s="8">
        <v>0.4</v>
      </c>
      <c r="O16" s="64">
        <f>N16/M16-1</f>
        <v>-0.54022988505747116</v>
      </c>
      <c r="P16" s="3">
        <f>N16/J16-1</f>
        <v>7</v>
      </c>
      <c r="S16" s="4"/>
    </row>
    <row r="17" spans="1:19" s="4" customFormat="1" ht="15.6" x14ac:dyDescent="0.3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31">
        <v>4.67</v>
      </c>
      <c r="F17" s="4">
        <v>1.9411799999999999</v>
      </c>
      <c r="G17" s="31">
        <v>2.34</v>
      </c>
      <c r="H17" s="31">
        <v>3</v>
      </c>
      <c r="I17" s="31">
        <v>5.0188200000000016</v>
      </c>
      <c r="J17" s="31">
        <v>2.3199999999999998</v>
      </c>
      <c r="K17" s="31">
        <v>3.49</v>
      </c>
      <c r="L17" s="31">
        <v>4.34</v>
      </c>
      <c r="M17" s="31">
        <f>[1]R_wyników_FY!F17-[1]R_wyników_Q!J17-K17-L17</f>
        <v>5.6999999999999993</v>
      </c>
      <c r="N17" s="7">
        <f>1.48+1.98</f>
        <v>3.46</v>
      </c>
      <c r="O17" s="5">
        <f>N17/M17-1</f>
        <v>-0.39298245614035077</v>
      </c>
      <c r="P17" s="5">
        <f>N17/J17-1</f>
        <v>0.49137931034482762</v>
      </c>
    </row>
    <row r="18" spans="1:19" s="2" customFormat="1" ht="15.6" x14ac:dyDescent="0.3">
      <c r="A18" s="2" t="s">
        <v>84</v>
      </c>
      <c r="B18" s="2">
        <f t="shared" ref="B18:N18" si="15">B17/B2</f>
        <v>2.4933307088542606E-2</v>
      </c>
      <c r="C18" s="2">
        <f t="shared" si="15"/>
        <v>6.5342495713364007E-2</v>
      </c>
      <c r="D18" s="2">
        <f t="shared" si="15"/>
        <v>8.0778472967692388E-2</v>
      </c>
      <c r="E18" s="33">
        <f t="shared" si="15"/>
        <v>0.1362509117432531</v>
      </c>
      <c r="F18" s="2">
        <f t="shared" si="15"/>
        <v>6.3707888510702818E-2</v>
      </c>
      <c r="G18" s="33">
        <f t="shared" si="15"/>
        <v>7.0249174422095453E-2</v>
      </c>
      <c r="H18" s="33">
        <f t="shared" si="15"/>
        <v>7.64525993883792E-2</v>
      </c>
      <c r="I18" s="33">
        <f t="shared" si="15"/>
        <v>0.1277703991268837</v>
      </c>
      <c r="J18" s="33">
        <f t="shared" si="15"/>
        <v>6.6285714285714281E-2</v>
      </c>
      <c r="K18" s="33">
        <f t="shared" si="15"/>
        <v>8.3773403744599143E-2</v>
      </c>
      <c r="L18" s="33">
        <f t="shared" si="15"/>
        <v>0.10107126222636237</v>
      </c>
      <c r="M18" s="33">
        <f t="shared" si="15"/>
        <v>0.11134987302207462</v>
      </c>
      <c r="N18" s="9">
        <f t="shared" si="15"/>
        <v>8.2282996432818084E-2</v>
      </c>
      <c r="O18" s="2">
        <f>N18-M18</f>
        <v>-2.9066876589256538E-2</v>
      </c>
      <c r="P18" s="2">
        <f>N18-J18</f>
        <v>1.5997282147103803E-2</v>
      </c>
      <c r="S18" s="4"/>
    </row>
    <row r="19" spans="1:19" s="4" customFormat="1" ht="15.6" x14ac:dyDescent="0.3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31">
        <v>3.3780000000000001</v>
      </c>
      <c r="F19" s="4">
        <v>0.70640999999999998</v>
      </c>
      <c r="G19" s="31">
        <v>1.1200000000000001</v>
      </c>
      <c r="H19" s="31">
        <v>1.72</v>
      </c>
      <c r="I19" s="31">
        <v>3.7135899999999999</v>
      </c>
      <c r="J19" s="31">
        <v>0.81</v>
      </c>
      <c r="K19" s="31">
        <v>1.89</v>
      </c>
      <c r="L19" s="31">
        <f>5.36-J19-K19</f>
        <v>2.660000000000001</v>
      </c>
      <c r="M19" s="31">
        <f>[1]R_wyników_FY!F19-[1]R_wyników_Q!J19-K19-L19</f>
        <v>3.6499999999999986</v>
      </c>
      <c r="N19" s="7">
        <v>1.48</v>
      </c>
      <c r="O19" s="5">
        <f>N19/M19-1</f>
        <v>-0.59452054794520537</v>
      </c>
      <c r="P19" s="5">
        <f>N19/J19-1</f>
        <v>0.82716049382716039</v>
      </c>
    </row>
    <row r="20" spans="1:19" s="2" customFormat="1" ht="15.6" x14ac:dyDescent="0.3">
      <c r="A20" s="2" t="s">
        <v>85</v>
      </c>
      <c r="B20" s="2">
        <f t="shared" ref="B20:G20" si="16">B19/B2</f>
        <v>-2.1755812782724881E-2</v>
      </c>
      <c r="C20" s="2">
        <f t="shared" si="16"/>
        <v>3.2983090790613366E-2</v>
      </c>
      <c r="D20" s="2">
        <f t="shared" si="16"/>
        <v>4.7007514339227729E-2</v>
      </c>
      <c r="E20" s="33">
        <f t="shared" si="16"/>
        <v>9.8555798687089718E-2</v>
      </c>
      <c r="F20" s="2">
        <f t="shared" si="16"/>
        <v>2.3183779723078529E-2</v>
      </c>
      <c r="G20" s="33">
        <f t="shared" si="16"/>
        <v>3.3623536475532873E-2</v>
      </c>
      <c r="H20" s="33">
        <f t="shared" ref="H20:N20" si="17">H19/H2</f>
        <v>4.383282364933741E-2</v>
      </c>
      <c r="I20" s="33">
        <f t="shared" si="17"/>
        <v>9.4541521013625493E-2</v>
      </c>
      <c r="J20" s="33">
        <f>J19/J2</f>
        <v>2.3142857142857146E-2</v>
      </c>
      <c r="K20" s="33">
        <f>K19/K2</f>
        <v>4.5367258761401824E-2</v>
      </c>
      <c r="L20" s="33">
        <f>L19/L2</f>
        <v>6.1946902654867284E-2</v>
      </c>
      <c r="M20" s="33">
        <f t="shared" ref="M20" si="18">M19/M2</f>
        <v>7.130298886501267E-2</v>
      </c>
      <c r="N20" s="9">
        <f t="shared" si="17"/>
        <v>3.5196195005945306E-2</v>
      </c>
      <c r="O20" s="2">
        <f>N20-M20</f>
        <v>-3.6106793859067364E-2</v>
      </c>
      <c r="P20" s="2">
        <f>N20-J20</f>
        <v>1.2053337863088161E-2</v>
      </c>
      <c r="Q20" s="1"/>
      <c r="S20" s="4"/>
    </row>
    <row r="21" spans="1:19" ht="15.6" x14ac:dyDescent="0.3">
      <c r="A21" s="1" t="s">
        <v>18</v>
      </c>
      <c r="B21" s="1">
        <v>5.79E-3</v>
      </c>
      <c r="C21" s="1">
        <v>0.90966999999999998</v>
      </c>
      <c r="D21" s="1">
        <v>-0.11751</v>
      </c>
      <c r="E21" s="32">
        <v>-0.76600000000000001</v>
      </c>
      <c r="F21" s="1">
        <v>0.27355000000000002</v>
      </c>
      <c r="G21" s="32">
        <v>0.55000000000000004</v>
      </c>
      <c r="H21" s="32">
        <v>0.2</v>
      </c>
      <c r="I21" s="32">
        <v>1.12645</v>
      </c>
      <c r="J21" s="32">
        <v>0.41</v>
      </c>
      <c r="K21" s="32">
        <v>0.1</v>
      </c>
      <c r="L21" s="32">
        <v>0</v>
      </c>
      <c r="M21" s="32">
        <f>[1]R_wyników_FY!F21-[1]R_wyników_Q!J21-K21-L21</f>
        <v>-0.23999999999999996</v>
      </c>
      <c r="N21" s="8">
        <v>0</v>
      </c>
      <c r="O21" s="64">
        <f t="shared" ref="O21:O26" si="19">N21/M21-1</f>
        <v>-1</v>
      </c>
      <c r="P21" s="3">
        <f t="shared" ref="P21:P26" si="20">N21/J21-1</f>
        <v>-1</v>
      </c>
      <c r="R21" s="3"/>
      <c r="S21" s="4"/>
    </row>
    <row r="22" spans="1:19" ht="15.6" x14ac:dyDescent="0.3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32">
        <v>0.56599999999999995</v>
      </c>
      <c r="F22" s="1">
        <v>0.15847</v>
      </c>
      <c r="G22" s="32">
        <v>0.18</v>
      </c>
      <c r="H22" s="32">
        <v>0.19</v>
      </c>
      <c r="I22" s="32">
        <v>0.21153</v>
      </c>
      <c r="J22" s="32">
        <v>0.23</v>
      </c>
      <c r="K22" s="32">
        <v>0.26</v>
      </c>
      <c r="L22" s="32">
        <f>0.82-J22-K22+0.26</f>
        <v>0.59</v>
      </c>
      <c r="M22" s="32">
        <f>[1]R_wyników_FY!F22-[1]R_wyników_Q!J22-K22-L22</f>
        <v>3.1500000000000004</v>
      </c>
      <c r="N22" s="8">
        <v>0.4</v>
      </c>
      <c r="O22" s="3">
        <f t="shared" si="19"/>
        <v>-0.87301587301587302</v>
      </c>
      <c r="P22" s="3">
        <f t="shared" si="20"/>
        <v>0.73913043478260865</v>
      </c>
      <c r="S22" s="4"/>
    </row>
    <row r="23" spans="1:19" ht="15.6" x14ac:dyDescent="0.3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32">
        <v>2.0459999999999998</v>
      </c>
      <c r="F23" s="1">
        <v>0.82149000000000005</v>
      </c>
      <c r="G23" s="32">
        <v>1.49</v>
      </c>
      <c r="H23" s="32">
        <v>1.73</v>
      </c>
      <c r="I23" s="32">
        <v>4.6285100000000003</v>
      </c>
      <c r="J23" s="32">
        <v>0.99</v>
      </c>
      <c r="K23" s="32">
        <v>1.73</v>
      </c>
      <c r="L23" s="32">
        <f>4.79-J23-K23</f>
        <v>2.0699999999999998</v>
      </c>
      <c r="M23" s="32">
        <f>[1]R_wyników_FY!F23-[1]R_wyników_Q!J23-K23-L23</f>
        <v>0.25</v>
      </c>
      <c r="N23" s="8">
        <v>1.08</v>
      </c>
      <c r="O23" s="3">
        <f>N23/M23-1</f>
        <v>3.3200000000000003</v>
      </c>
      <c r="P23" s="3">
        <f>N23/J23-1</f>
        <v>9.090909090909105E-2</v>
      </c>
      <c r="S23" s="4"/>
    </row>
    <row r="24" spans="1:19" ht="15.6" x14ac:dyDescent="0.3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32">
        <v>0.82199999999999995</v>
      </c>
      <c r="F24" s="1">
        <v>1.49E-3</v>
      </c>
      <c r="G24" s="32">
        <v>0</v>
      </c>
      <c r="H24" s="32">
        <v>0.03</v>
      </c>
      <c r="I24" s="32">
        <v>1.64</v>
      </c>
      <c r="J24" s="32">
        <v>-0.01</v>
      </c>
      <c r="K24" s="32">
        <v>0.2</v>
      </c>
      <c r="L24" s="32">
        <f>-0.11-J24-K24</f>
        <v>-0.30000000000000004</v>
      </c>
      <c r="M24" s="32">
        <f>[1]R_wyników_FY!F24-[1]R_wyników_Q!J24-K24-L24</f>
        <v>1.55</v>
      </c>
      <c r="N24" s="8">
        <v>0.01</v>
      </c>
      <c r="O24" s="3">
        <f t="shared" si="19"/>
        <v>-0.99354838709677418</v>
      </c>
      <c r="P24" s="3">
        <f t="shared" si="20"/>
        <v>-2</v>
      </c>
      <c r="S24" s="4"/>
    </row>
    <row r="25" spans="1:19" ht="15.6" x14ac:dyDescent="0.3">
      <c r="A25" s="1" t="s">
        <v>22</v>
      </c>
      <c r="B25" s="1">
        <v>-0.72724</v>
      </c>
      <c r="C25" s="1">
        <v>1.25088</v>
      </c>
      <c r="D25" s="1">
        <v>1.2783100000000001</v>
      </c>
      <c r="E25" s="32">
        <v>1.224</v>
      </c>
      <c r="F25" s="1">
        <v>0.84189999999999998</v>
      </c>
      <c r="G25" s="32">
        <v>1.3</v>
      </c>
      <c r="H25" s="32">
        <v>1.7</v>
      </c>
      <c r="I25" s="32">
        <v>3.1581000000000001</v>
      </c>
      <c r="J25" s="32">
        <v>1</v>
      </c>
      <c r="K25" s="32">
        <v>1.53</v>
      </c>
      <c r="L25" s="32">
        <f>L23-L24</f>
        <v>2.37</v>
      </c>
      <c r="M25" s="32">
        <f>[1]R_wyników_FY!F25-[1]R_wyników_Q!J25-K25-L25</f>
        <v>-1.3</v>
      </c>
      <c r="N25" s="8">
        <v>1.07</v>
      </c>
      <c r="O25" s="3">
        <f t="shared" si="19"/>
        <v>-1.8230769230769233</v>
      </c>
      <c r="P25" s="3">
        <f t="shared" si="20"/>
        <v>7.0000000000000062E-2</v>
      </c>
      <c r="S25" s="4"/>
    </row>
    <row r="26" spans="1:19" s="4" customFormat="1" ht="15.6" x14ac:dyDescent="0.3">
      <c r="A26" s="4" t="s">
        <v>26</v>
      </c>
      <c r="B26" s="4">
        <v>-0.73</v>
      </c>
      <c r="C26" s="4">
        <v>1.25088</v>
      </c>
      <c r="D26" s="4">
        <v>1.2783100000000001</v>
      </c>
      <c r="E26" s="31">
        <v>1.224</v>
      </c>
      <c r="F26" s="4">
        <v>0.84189999999999998</v>
      </c>
      <c r="G26" s="31">
        <v>1.3</v>
      </c>
      <c r="H26" s="31">
        <v>2.12</v>
      </c>
      <c r="I26" s="31">
        <v>2.7381000000000002</v>
      </c>
      <c r="J26" s="31">
        <v>1.1399999999999999</v>
      </c>
      <c r="K26" s="31">
        <v>1.43</v>
      </c>
      <c r="L26" s="31">
        <f>5.01-J26-K26</f>
        <v>2.4400000000000004</v>
      </c>
      <c r="M26" s="31">
        <f>[1]R_wyników_FY!F26-[1]R_wyników_Q!J26-K26-L26</f>
        <v>-1.4100000000000004</v>
      </c>
      <c r="N26" s="7">
        <v>1.3</v>
      </c>
      <c r="O26" s="5">
        <f t="shared" si="19"/>
        <v>-1.9219858156028367</v>
      </c>
      <c r="P26" s="5">
        <f t="shared" si="20"/>
        <v>0.14035087719298267</v>
      </c>
    </row>
    <row r="27" spans="1:19" s="2" customFormat="1" ht="15.6" x14ac:dyDescent="0.3">
      <c r="A27" s="48" t="s">
        <v>86</v>
      </c>
      <c r="B27" s="48">
        <f t="shared" ref="B27:N27" si="21">B26/B2</f>
        <v>-3.3108347748314879E-2</v>
      </c>
      <c r="C27" s="48">
        <f t="shared" si="21"/>
        <v>4.0172820720501698E-2</v>
      </c>
      <c r="D27" s="48">
        <f t="shared" si="21"/>
        <v>3.8277166679392689E-2</v>
      </c>
      <c r="E27" s="49">
        <f t="shared" si="21"/>
        <v>3.5711159737417945E-2</v>
      </c>
      <c r="F27" s="48">
        <f t="shared" si="21"/>
        <v>2.7630447118330452E-2</v>
      </c>
      <c r="G27" s="49">
        <f t="shared" si="21"/>
        <v>3.9027319123386368E-2</v>
      </c>
      <c r="H27" s="49">
        <f t="shared" si="21"/>
        <v>5.4026503567787973E-2</v>
      </c>
      <c r="I27" s="49">
        <f t="shared" si="21"/>
        <v>6.9707247888810553E-2</v>
      </c>
      <c r="J27" s="49">
        <f t="shared" si="21"/>
        <v>3.2571428571428571E-2</v>
      </c>
      <c r="K27" s="49">
        <f t="shared" si="21"/>
        <v>3.4325492078732596E-2</v>
      </c>
      <c r="L27" s="49">
        <f t="shared" si="21"/>
        <v>5.6823474615742907E-2</v>
      </c>
      <c r="M27" s="49">
        <f t="shared" si="21"/>
        <v>-2.7544442273881625E-2</v>
      </c>
      <c r="N27" s="50">
        <f t="shared" si="21"/>
        <v>3.0915576694411417E-2</v>
      </c>
      <c r="O27" s="2">
        <f>N27-M27</f>
        <v>5.8460018968293045E-2</v>
      </c>
      <c r="P27" s="2">
        <f>N27-J27</f>
        <v>-1.6558518770171532E-3</v>
      </c>
      <c r="S27" s="4"/>
    </row>
    <row r="28" spans="1:19" ht="15.6" x14ac:dyDescent="0.3">
      <c r="A28" s="51" t="s">
        <v>23</v>
      </c>
      <c r="B28" s="51">
        <v>-0.727746</v>
      </c>
      <c r="C28" s="51">
        <v>1.25088</v>
      </c>
      <c r="D28" s="51">
        <v>1.2783100000000001</v>
      </c>
      <c r="E28" s="52">
        <v>1.208</v>
      </c>
      <c r="F28" s="51">
        <v>0.84189999999999998</v>
      </c>
      <c r="G28" s="52">
        <v>1.3</v>
      </c>
      <c r="H28" s="52">
        <v>2.12</v>
      </c>
      <c r="I28" s="52">
        <v>2.8281000000000001</v>
      </c>
      <c r="J28" s="52">
        <v>1.1399999999999999</v>
      </c>
      <c r="K28" s="52">
        <v>1.43</v>
      </c>
      <c r="L28" s="52">
        <f>L26</f>
        <v>2.4400000000000004</v>
      </c>
      <c r="M28" s="52">
        <f>[1]R_wyników_FY!F28-[1]R_wyników_Q!J28-K28-L28</f>
        <v>-0.85999999999999965</v>
      </c>
      <c r="N28" s="53">
        <v>1.3</v>
      </c>
      <c r="O28" s="54">
        <f t="shared" ref="O28:O29" si="22">N28/M28-1</f>
        <v>-2.5116279069767451</v>
      </c>
      <c r="P28" s="54">
        <f t="shared" ref="P28:P29" si="23">N28/J28-1</f>
        <v>0.14035087719298267</v>
      </c>
      <c r="S28" s="4"/>
    </row>
    <row r="29" spans="1:19" ht="15.6" x14ac:dyDescent="0.3">
      <c r="A29" s="47" t="s">
        <v>24</v>
      </c>
      <c r="B29" s="47">
        <v>-0.1</v>
      </c>
      <c r="C29" s="47">
        <v>0.17</v>
      </c>
      <c r="D29" s="47">
        <v>0.18</v>
      </c>
      <c r="E29" s="55">
        <v>0.17</v>
      </c>
      <c r="F29" s="47">
        <v>0.12</v>
      </c>
      <c r="G29" s="55">
        <v>0.18</v>
      </c>
      <c r="H29" s="55">
        <v>0.28999999999999998</v>
      </c>
      <c r="I29" s="55">
        <v>0.39999999999999997</v>
      </c>
      <c r="J29" s="55">
        <v>0.16</v>
      </c>
      <c r="K29" s="55">
        <v>0.2</v>
      </c>
      <c r="L29" s="55">
        <v>0.34</v>
      </c>
      <c r="M29" s="55">
        <f>[1]R_wyników_FY!F29-[1]R_wyników_Q!J29-K29-L29</f>
        <v>-0.12000000000000011</v>
      </c>
      <c r="N29" s="56">
        <v>0.18</v>
      </c>
      <c r="O29" s="57">
        <f t="shared" si="22"/>
        <v>-2.4999999999999987</v>
      </c>
      <c r="P29" s="57">
        <f t="shared" si="23"/>
        <v>0.125</v>
      </c>
      <c r="S29" s="4"/>
    </row>
    <row r="30" spans="1:19" x14ac:dyDescent="0.25">
      <c r="A30" s="58"/>
    </row>
    <row r="34" spans="10:10" x14ac:dyDescent="0.25">
      <c r="J34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56.54296875" style="1" bestFit="1" customWidth="1"/>
    <col min="2" max="2" width="10.54296875" style="1" customWidth="1"/>
    <col min="3" max="3" width="14.54296875" style="1" customWidth="1"/>
    <col min="4" max="4" width="10.54296875" style="1" customWidth="1"/>
    <col min="5" max="5" width="10.54296875" style="32" customWidth="1"/>
    <col min="6" max="6" width="10.54296875" style="8"/>
    <col min="7" max="7" width="10.54296875" style="1"/>
    <col min="8" max="8" width="10.54296875" style="3"/>
    <col min="9" max="16384" width="10.54296875" style="1"/>
  </cols>
  <sheetData>
    <row r="1" spans="1:8" s="4" customFormat="1" ht="15.6" x14ac:dyDescent="0.3">
      <c r="A1" s="6" t="s">
        <v>116</v>
      </c>
      <c r="B1" s="36">
        <v>2014</v>
      </c>
      <c r="C1" s="36">
        <v>2015</v>
      </c>
      <c r="D1" s="36">
        <v>2016</v>
      </c>
      <c r="E1" s="36">
        <v>2017</v>
      </c>
      <c r="F1" s="65">
        <v>2018</v>
      </c>
      <c r="H1" s="5" t="s">
        <v>77</v>
      </c>
    </row>
    <row r="2" spans="1:8" s="4" customFormat="1" ht="15.6" x14ac:dyDescent="0.3">
      <c r="A2" s="4" t="s">
        <v>11</v>
      </c>
      <c r="B2" s="31">
        <v>113.88500000000001</v>
      </c>
      <c r="C2" s="31">
        <v>109.581</v>
      </c>
      <c r="D2" s="31">
        <v>120.857</v>
      </c>
      <c r="E2" s="31">
        <v>142.30000000000001</v>
      </c>
      <c r="F2" s="7">
        <v>170.79</v>
      </c>
      <c r="H2" s="5">
        <f>F2/E2-1</f>
        <v>0.20021082220660569</v>
      </c>
    </row>
    <row r="3" spans="1:8" x14ac:dyDescent="0.25">
      <c r="A3" s="1" t="s">
        <v>106</v>
      </c>
      <c r="B3" s="32">
        <v>52.167999999999999</v>
      </c>
      <c r="C3" s="32">
        <v>51.484000000000002</v>
      </c>
      <c r="D3" s="32">
        <v>55.6</v>
      </c>
      <c r="E3" s="32">
        <v>61.96</v>
      </c>
      <c r="F3" s="8">
        <v>81.42</v>
      </c>
      <c r="H3" s="3">
        <f>F3/E3-1</f>
        <v>0.31407359586830208</v>
      </c>
    </row>
    <row r="4" spans="1:8" s="2" customFormat="1" ht="15.6" x14ac:dyDescent="0.3">
      <c r="A4" s="2" t="s">
        <v>107</v>
      </c>
      <c r="B4" s="33">
        <f>B3/B2</f>
        <v>0.45807612942880976</v>
      </c>
      <c r="C4" s="33">
        <f>C3/C2</f>
        <v>0.46982597348080418</v>
      </c>
      <c r="D4" s="33">
        <f>D3/D2</f>
        <v>0.46004782511563252</v>
      </c>
      <c r="E4" s="62">
        <f>E3/E2</f>
        <v>0.43541813070976809</v>
      </c>
      <c r="F4" s="63">
        <f>F3/F2</f>
        <v>0.47672580361847888</v>
      </c>
      <c r="H4" s="2">
        <f>F4-E4</f>
        <v>4.1307672908710791E-2</v>
      </c>
    </row>
    <row r="5" spans="1:8" x14ac:dyDescent="0.25">
      <c r="A5" s="1" t="s">
        <v>108</v>
      </c>
      <c r="B5" s="32">
        <v>61.716000000000001</v>
      </c>
      <c r="C5" s="32">
        <v>58.097000000000001</v>
      </c>
      <c r="D5" s="32">
        <v>65.257000000000005</v>
      </c>
      <c r="E5" s="32">
        <v>80.34</v>
      </c>
      <c r="F5" s="8">
        <f>88.03+1.34</f>
        <v>89.37</v>
      </c>
      <c r="H5" s="3">
        <f>F5/E5-1</f>
        <v>0.11239731142643761</v>
      </c>
    </row>
    <row r="6" spans="1:8" s="2" customFormat="1" ht="15.6" x14ac:dyDescent="0.3">
      <c r="A6" s="2" t="s">
        <v>109</v>
      </c>
      <c r="B6" s="33">
        <f>B5/B2</f>
        <v>0.54191508978355352</v>
      </c>
      <c r="C6" s="33">
        <f>C5/C2</f>
        <v>0.53017402651919587</v>
      </c>
      <c r="D6" s="33">
        <f>D5/D2</f>
        <v>0.53995217488436753</v>
      </c>
      <c r="E6" s="62">
        <f>E5/E2</f>
        <v>0.56458186929023191</v>
      </c>
      <c r="F6" s="63">
        <f>F5/F2</f>
        <v>0.52327419638152117</v>
      </c>
      <c r="H6" s="2">
        <f>F6-E6</f>
        <v>-4.1307672908710735E-2</v>
      </c>
    </row>
    <row r="7" spans="1:8" x14ac:dyDescent="0.25">
      <c r="A7" s="1" t="s">
        <v>12</v>
      </c>
      <c r="B7" s="32">
        <v>78.638000000000005</v>
      </c>
      <c r="C7" s="32">
        <v>69.656999999999996</v>
      </c>
      <c r="D7" s="32">
        <v>73.626999999999995</v>
      </c>
      <c r="E7" s="32">
        <v>80.44</v>
      </c>
      <c r="F7" s="8">
        <v>100.07</v>
      </c>
      <c r="H7" s="3">
        <f>F7/E7-1</f>
        <v>0.24403281949278965</v>
      </c>
    </row>
    <row r="8" spans="1:8" s="2" customFormat="1" ht="15.6" x14ac:dyDescent="0.3">
      <c r="A8" s="2" t="s">
        <v>115</v>
      </c>
      <c r="B8" s="33">
        <f>B7/B2</f>
        <v>0.69050357817096197</v>
      </c>
      <c r="C8" s="33">
        <f>C7/C2</f>
        <v>0.63566676704903213</v>
      </c>
      <c r="D8" s="33">
        <f>D7/D2</f>
        <v>0.60920757589547969</v>
      </c>
      <c r="E8" s="33">
        <f>E7/E2</f>
        <v>0.56528460997891772</v>
      </c>
      <c r="F8" s="9">
        <f>F7/F2</f>
        <v>0.58592423443995545</v>
      </c>
      <c r="H8" s="2">
        <f>F8-E8</f>
        <v>2.0639624461037731E-2</v>
      </c>
    </row>
    <row r="9" spans="1:8" s="4" customFormat="1" ht="15.6" x14ac:dyDescent="0.3">
      <c r="A9" s="4" t="s">
        <v>13</v>
      </c>
      <c r="B9" s="31">
        <v>35.246000000000002</v>
      </c>
      <c r="C9" s="31">
        <v>39.923999999999999</v>
      </c>
      <c r="D9" s="31">
        <v>47.23</v>
      </c>
      <c r="E9" s="31">
        <v>61.86</v>
      </c>
      <c r="F9" s="7">
        <v>70.72</v>
      </c>
      <c r="H9" s="5">
        <f>F9/E9-1</f>
        <v>0.14322664080181058</v>
      </c>
    </row>
    <row r="10" spans="1:8" s="2" customFormat="1" ht="15.6" x14ac:dyDescent="0.3">
      <c r="A10" s="2" t="s">
        <v>83</v>
      </c>
      <c r="B10" s="33">
        <f>B9/B2</f>
        <v>0.30948764104140142</v>
      </c>
      <c r="C10" s="33">
        <f>C9/C2</f>
        <v>0.36433323295096776</v>
      </c>
      <c r="D10" s="33">
        <f>D9/D2</f>
        <v>0.3907924241045202</v>
      </c>
      <c r="E10" s="33">
        <f>E9/E2</f>
        <v>0.43471539002108217</v>
      </c>
      <c r="F10" s="9">
        <f>F9/F2</f>
        <v>0.4140757655600445</v>
      </c>
      <c r="H10" s="2">
        <f>F10-E10</f>
        <v>-2.0639624461037676E-2</v>
      </c>
    </row>
    <row r="11" spans="1:8" x14ac:dyDescent="0.25">
      <c r="A11" s="1" t="s">
        <v>14</v>
      </c>
      <c r="B11" s="32">
        <v>3.5270000000000001</v>
      </c>
      <c r="C11" s="32">
        <v>1.9239999999999999</v>
      </c>
      <c r="D11" s="32">
        <v>2.077</v>
      </c>
      <c r="E11" s="32">
        <v>3.3</v>
      </c>
      <c r="F11" s="8">
        <v>3.04</v>
      </c>
      <c r="H11" s="3">
        <f>F11/E11-1</f>
        <v>-7.878787878787874E-2</v>
      </c>
    </row>
    <row r="12" spans="1:8" x14ac:dyDescent="0.25">
      <c r="A12" s="1" t="s">
        <v>15</v>
      </c>
      <c r="B12" s="32">
        <v>20.65</v>
      </c>
      <c r="C12" s="32">
        <v>22.696000000000002</v>
      </c>
      <c r="D12" s="32">
        <v>30.015999999999998</v>
      </c>
      <c r="E12" s="32">
        <v>36.229999999999997</v>
      </c>
      <c r="F12" s="8">
        <v>42.97</v>
      </c>
      <c r="H12" s="3">
        <f>F12/E12-1</f>
        <v>0.18603367375103508</v>
      </c>
    </row>
    <row r="13" spans="1:8" s="2" customFormat="1" ht="15.6" x14ac:dyDescent="0.3">
      <c r="A13" s="2" t="s">
        <v>80</v>
      </c>
      <c r="B13" s="33">
        <f>B12/B2</f>
        <v>0.18132326469684329</v>
      </c>
      <c r="C13" s="33">
        <f>C12/C2</f>
        <v>0.20711619715096596</v>
      </c>
      <c r="D13" s="33">
        <f>D12/D2</f>
        <v>0.24835963163077024</v>
      </c>
      <c r="E13" s="33">
        <f>E12/E2</f>
        <v>0.25460295151089246</v>
      </c>
      <c r="F13" s="9">
        <f>F12/F2</f>
        <v>0.25159552667017976</v>
      </c>
      <c r="H13" s="2">
        <f>F13-E13</f>
        <v>-3.0074248407127024E-3</v>
      </c>
    </row>
    <row r="14" spans="1:8" x14ac:dyDescent="0.25">
      <c r="A14" s="1" t="s">
        <v>16</v>
      </c>
      <c r="B14" s="32">
        <v>11.872999999999999</v>
      </c>
      <c r="C14" s="32">
        <v>13.265000000000001</v>
      </c>
      <c r="D14" s="32">
        <v>13.116</v>
      </c>
      <c r="E14" s="32">
        <v>19.88</v>
      </c>
      <c r="F14" s="8">
        <v>20.260000000000002</v>
      </c>
      <c r="H14" s="3">
        <f>F14/E14-1</f>
        <v>1.9114688128772706E-2</v>
      </c>
    </row>
    <row r="15" spans="1:8" s="2" customFormat="1" ht="15.6" x14ac:dyDescent="0.3">
      <c r="A15" s="2" t="s">
        <v>81</v>
      </c>
      <c r="B15" s="33">
        <f>B14/B2</f>
        <v>0.1042542916099574</v>
      </c>
      <c r="C15" s="33">
        <f>C14/C2</f>
        <v>0.12105200719102764</v>
      </c>
      <c r="D15" s="33">
        <f>D14/D2</f>
        <v>0.10852495097511936</v>
      </c>
      <c r="E15" s="33">
        <f>E14/E2</f>
        <v>0.13970484891075191</v>
      </c>
      <c r="F15" s="9">
        <f>F14/F2</f>
        <v>0.11862521224896072</v>
      </c>
      <c r="H15" s="2">
        <f>F15-E15</f>
        <v>-2.107963666179119E-2</v>
      </c>
    </row>
    <row r="16" spans="1:8" x14ac:dyDescent="0.25">
      <c r="A16" s="1" t="s">
        <v>25</v>
      </c>
      <c r="B16" s="32">
        <v>1.2</v>
      </c>
      <c r="C16" s="32">
        <v>1.1339999999999999</v>
      </c>
      <c r="D16" s="32">
        <v>0.67900000000000005</v>
      </c>
      <c r="E16" s="32">
        <v>1.8</v>
      </c>
      <c r="F16" s="8">
        <v>1.52</v>
      </c>
      <c r="H16" s="3">
        <f>F16/E16-1</f>
        <v>-0.15555555555555556</v>
      </c>
    </row>
    <row r="17" spans="1:8" s="4" customFormat="1" ht="15.6" x14ac:dyDescent="0.3">
      <c r="A17" s="4" t="s">
        <v>82</v>
      </c>
      <c r="B17" s="31">
        <v>8.4280000000000008</v>
      </c>
      <c r="C17" s="31">
        <v>8.36</v>
      </c>
      <c r="D17" s="31">
        <v>9.9489999999999998</v>
      </c>
      <c r="E17" s="31">
        <v>12.3</v>
      </c>
      <c r="F17" s="7">
        <f>F19+6.84</f>
        <v>15.85</v>
      </c>
      <c r="H17" s="5">
        <f>F17/E17-1</f>
        <v>0.28861788617886175</v>
      </c>
    </row>
    <row r="18" spans="1:8" s="2" customFormat="1" ht="15.6" x14ac:dyDescent="0.3">
      <c r="A18" s="2" t="s">
        <v>84</v>
      </c>
      <c r="B18" s="33">
        <f>B17/B2</f>
        <v>7.4004478201694701E-2</v>
      </c>
      <c r="C18" s="33">
        <f>C17/C2</f>
        <v>7.6290597822615228E-2</v>
      </c>
      <c r="D18" s="33">
        <f>D17/D2</f>
        <v>8.2320428274737914E-2</v>
      </c>
      <c r="E18" s="33">
        <f>E17/E2</f>
        <v>8.6437104708362605E-2</v>
      </c>
      <c r="F18" s="9">
        <f>F17/F2</f>
        <v>9.2804028338895728E-2</v>
      </c>
      <c r="H18" s="2">
        <f>F18-E18</f>
        <v>6.3669236305331223E-3</v>
      </c>
    </row>
    <row r="19" spans="1:8" s="4" customFormat="1" ht="15.6" x14ac:dyDescent="0.3">
      <c r="A19" s="4" t="s">
        <v>17</v>
      </c>
      <c r="B19" s="31">
        <v>5.05</v>
      </c>
      <c r="C19" s="31">
        <v>4.7530000000000001</v>
      </c>
      <c r="D19" s="31">
        <v>5.4950000000000001</v>
      </c>
      <c r="E19" s="31">
        <v>7.26</v>
      </c>
      <c r="F19" s="7">
        <v>9.01</v>
      </c>
      <c r="H19" s="5">
        <f>F19/E19-1</f>
        <v>0.24104683195592291</v>
      </c>
    </row>
    <row r="20" spans="1:8" s="2" customFormat="1" ht="15.6" x14ac:dyDescent="0.3">
      <c r="A20" s="2" t="s">
        <v>85</v>
      </c>
      <c r="B20" s="33">
        <f>B19/B2</f>
        <v>4.4342977565087587E-2</v>
      </c>
      <c r="C20" s="33">
        <f>C19/C2</f>
        <v>4.3374307589819402E-2</v>
      </c>
      <c r="D20" s="33">
        <f>D19/D2</f>
        <v>4.5466956816733829E-2</v>
      </c>
      <c r="E20" s="33">
        <f>E19/E2</f>
        <v>5.1018973998594515E-2</v>
      </c>
      <c r="F20" s="9">
        <f>F19/F2</f>
        <v>5.2754845131447979E-2</v>
      </c>
      <c r="H20" s="2">
        <f>F20-E20</f>
        <v>1.7358711328534643E-3</v>
      </c>
    </row>
    <row r="21" spans="1:8" x14ac:dyDescent="0.25">
      <c r="A21" s="1" t="s">
        <v>18</v>
      </c>
      <c r="B21" s="32">
        <v>0.23100000000000001</v>
      </c>
      <c r="C21" s="32">
        <v>0.14099999999999999</v>
      </c>
      <c r="D21" s="32">
        <v>3.2000000000000001E-2</v>
      </c>
      <c r="E21" s="32">
        <v>2.15</v>
      </c>
      <c r="F21" s="8">
        <v>0.27</v>
      </c>
      <c r="H21" s="3">
        <f t="shared" ref="H21:H26" si="0">F21/E21-1</f>
        <v>-0.87441860465116283</v>
      </c>
    </row>
    <row r="22" spans="1:8" x14ac:dyDescent="0.25">
      <c r="A22" s="1" t="s">
        <v>19</v>
      </c>
      <c r="B22" s="32">
        <v>1.4119999999999999</v>
      </c>
      <c r="C22" s="32">
        <v>0.752</v>
      </c>
      <c r="D22" s="32">
        <v>1.5669999999999999</v>
      </c>
      <c r="E22" s="32">
        <v>0.75</v>
      </c>
      <c r="F22" s="8">
        <v>4.2300000000000004</v>
      </c>
      <c r="H22" s="3">
        <f t="shared" si="0"/>
        <v>4.6400000000000006</v>
      </c>
    </row>
    <row r="23" spans="1:8" x14ac:dyDescent="0.25">
      <c r="A23" s="1" t="s">
        <v>20</v>
      </c>
      <c r="B23" s="32">
        <v>3.8690000000000002</v>
      </c>
      <c r="C23" s="32">
        <v>4.1429999999999998</v>
      </c>
      <c r="D23" s="32">
        <v>3.9609999999999999</v>
      </c>
      <c r="E23" s="32">
        <v>8.67</v>
      </c>
      <c r="F23" s="8">
        <v>5.04</v>
      </c>
      <c r="H23" s="3">
        <f t="shared" si="0"/>
        <v>-0.41868512110726641</v>
      </c>
    </row>
    <row r="24" spans="1:8" x14ac:dyDescent="0.25">
      <c r="A24" s="1" t="s">
        <v>21</v>
      </c>
      <c r="B24" s="32">
        <v>0.35699999999999998</v>
      </c>
      <c r="C24" s="32">
        <v>1.169</v>
      </c>
      <c r="D24" s="32">
        <v>0.82799999999999996</v>
      </c>
      <c r="E24" s="32">
        <v>1.67</v>
      </c>
      <c r="F24" s="8">
        <v>1.44</v>
      </c>
      <c r="H24" s="3">
        <f t="shared" si="0"/>
        <v>-0.13772455089820357</v>
      </c>
    </row>
    <row r="25" spans="1:8" x14ac:dyDescent="0.25">
      <c r="A25" s="1" t="s">
        <v>22</v>
      </c>
      <c r="B25" s="32">
        <v>3.512</v>
      </c>
      <c r="C25" s="32">
        <v>2.9740000000000002</v>
      </c>
      <c r="D25" s="32">
        <v>3.133</v>
      </c>
      <c r="E25" s="32">
        <v>7</v>
      </c>
      <c r="F25" s="8">
        <v>3.6</v>
      </c>
      <c r="H25" s="3">
        <f t="shared" si="0"/>
        <v>-0.48571428571428565</v>
      </c>
    </row>
    <row r="26" spans="1:8" s="4" customFormat="1" ht="15.6" x14ac:dyDescent="0.3">
      <c r="A26" s="4" t="s">
        <v>26</v>
      </c>
      <c r="B26" s="31">
        <v>3.512</v>
      </c>
      <c r="C26" s="31">
        <v>2.9740000000000002</v>
      </c>
      <c r="D26" s="31">
        <v>3.133</v>
      </c>
      <c r="E26" s="31">
        <v>7</v>
      </c>
      <c r="F26" s="7">
        <v>3.6</v>
      </c>
      <c r="H26" s="5">
        <f t="shared" si="0"/>
        <v>-0.48571428571428565</v>
      </c>
    </row>
    <row r="27" spans="1:8" s="2" customFormat="1" ht="15.6" x14ac:dyDescent="0.3">
      <c r="A27" s="2" t="s">
        <v>86</v>
      </c>
      <c r="B27" s="33">
        <f>B26/B2</f>
        <v>3.0838126179918338E-2</v>
      </c>
      <c r="C27" s="33">
        <f>C26/C2</f>
        <v>2.7139741378523652E-2</v>
      </c>
      <c r="D27" s="33">
        <f>D26/D2</f>
        <v>2.5923198490778357E-2</v>
      </c>
      <c r="E27" s="33">
        <f>E26/E2</f>
        <v>4.9191848208011237E-2</v>
      </c>
      <c r="F27" s="9">
        <f>F26/F2</f>
        <v>2.1078517477604076E-2</v>
      </c>
      <c r="H27" s="2">
        <f>F27-E27</f>
        <v>-2.8113330730407161E-2</v>
      </c>
    </row>
    <row r="28" spans="1:8" x14ac:dyDescent="0.25">
      <c r="A28" s="1" t="s">
        <v>23</v>
      </c>
      <c r="B28" s="32">
        <v>4</v>
      </c>
      <c r="C28" s="32">
        <v>3.8050000000000002</v>
      </c>
      <c r="D28" s="32">
        <v>3.0089999999999999</v>
      </c>
      <c r="E28" s="32">
        <v>7.09</v>
      </c>
      <c r="F28" s="8">
        <v>4.1500000000000004</v>
      </c>
      <c r="H28" s="3">
        <f>F28/E28-1</f>
        <v>-0.4146685472496473</v>
      </c>
    </row>
    <row r="29" spans="1:8" x14ac:dyDescent="0.25">
      <c r="A29" s="1" t="s">
        <v>24</v>
      </c>
      <c r="B29" s="32">
        <v>0.56000000000000005</v>
      </c>
      <c r="C29" s="32">
        <v>0.53</v>
      </c>
      <c r="D29" s="32">
        <v>0.41</v>
      </c>
      <c r="E29" s="32">
        <v>0.99</v>
      </c>
      <c r="F29" s="8">
        <v>0.57999999999999996</v>
      </c>
      <c r="H29" s="3">
        <f>F29/E29-1</f>
        <v>-0.41414141414141414</v>
      </c>
    </row>
    <row r="30" spans="1:8" x14ac:dyDescent="0.25">
      <c r="B30" s="32"/>
      <c r="C30" s="32"/>
      <c r="D30" s="32"/>
    </row>
    <row r="31" spans="1:8" x14ac:dyDescent="0.25">
      <c r="B31" s="32"/>
      <c r="C31" s="32"/>
      <c r="D31" s="32"/>
    </row>
    <row r="32" spans="1:8" x14ac:dyDescent="0.25">
      <c r="B32" s="32"/>
      <c r="C32" s="46"/>
      <c r="D32" s="32"/>
    </row>
    <row r="33" spans="2:4" x14ac:dyDescent="0.25">
      <c r="B33" s="32"/>
      <c r="C33" s="32"/>
      <c r="D33" s="32"/>
    </row>
    <row r="34" spans="2:4" x14ac:dyDescent="0.25">
      <c r="B34" s="32"/>
      <c r="C34" s="32"/>
      <c r="D34" s="32"/>
    </row>
    <row r="35" spans="2:4" x14ac:dyDescent="0.25">
      <c r="B35" s="32"/>
      <c r="C35" s="32"/>
      <c r="D35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5"/>
  <sheetViews>
    <sheetView tabSelected="1" zoomScaleNormal="100" workbookViewId="0">
      <pane xSplit="1" ySplit="1" topLeftCell="L2" activePane="bottomRight" state="frozenSplit"/>
      <selection sqref="A1:A1048576"/>
      <selection pane="topRight" activeCell="B1" sqref="B1"/>
      <selection pane="bottomLeft" activeCell="A28" sqref="A28"/>
      <selection pane="bottomRight" activeCell="M21" sqref="M21"/>
    </sheetView>
  </sheetViews>
  <sheetFormatPr defaultColWidth="10.54296875" defaultRowHeight="15" x14ac:dyDescent="0.25"/>
  <cols>
    <col min="1" max="1" width="50.54296875" style="10" bestFit="1" customWidth="1"/>
    <col min="2" max="11" width="10.54296875" style="10"/>
    <col min="12" max="12" width="10.54296875" style="10" customWidth="1"/>
    <col min="13" max="14" width="10.54296875" style="35" customWidth="1"/>
    <col min="15" max="15" width="10.54296875" style="35"/>
    <col min="16" max="16" width="10.54296875" style="10"/>
    <col min="17" max="18" width="10.54296875" style="3"/>
    <col min="19" max="16384" width="10.54296875" style="10"/>
  </cols>
  <sheetData>
    <row r="1" spans="1:18" s="4" customFormat="1" ht="15.6" x14ac:dyDescent="0.3">
      <c r="A1" s="6" t="s">
        <v>119</v>
      </c>
      <c r="B1" s="38" t="s">
        <v>117</v>
      </c>
      <c r="C1" s="38" t="s">
        <v>118</v>
      </c>
      <c r="D1" s="38" t="s">
        <v>27</v>
      </c>
      <c r="E1" s="38" t="s">
        <v>28</v>
      </c>
      <c r="F1" s="38" t="s">
        <v>29</v>
      </c>
      <c r="G1" s="38" t="s">
        <v>30</v>
      </c>
      <c r="H1" s="4" t="s">
        <v>31</v>
      </c>
      <c r="I1" s="4" t="s">
        <v>155</v>
      </c>
      <c r="J1" s="4" t="s">
        <v>154</v>
      </c>
      <c r="K1" s="4" t="s">
        <v>156</v>
      </c>
      <c r="L1" s="4" t="s">
        <v>159</v>
      </c>
      <c r="M1" s="42" t="s">
        <v>162</v>
      </c>
      <c r="N1" s="42" t="s">
        <v>164</v>
      </c>
      <c r="O1" s="42" t="s">
        <v>167</v>
      </c>
      <c r="P1" s="34" t="s">
        <v>170</v>
      </c>
      <c r="Q1" s="5" t="s">
        <v>78</v>
      </c>
      <c r="R1" s="5" t="s">
        <v>77</v>
      </c>
    </row>
    <row r="2" spans="1:18" s="11" customFormat="1" ht="15.6" x14ac:dyDescent="0.3">
      <c r="A2" s="11" t="s">
        <v>88</v>
      </c>
      <c r="Q2" s="12"/>
      <c r="R2" s="12"/>
    </row>
    <row r="3" spans="1:18" s="38" customFormat="1" ht="15.6" x14ac:dyDescent="0.3">
      <c r="A3" s="38" t="s">
        <v>32</v>
      </c>
      <c r="B3" s="38">
        <v>40.344999999999999</v>
      </c>
      <c r="C3" s="38">
        <v>47.609000000000002</v>
      </c>
      <c r="D3" s="38">
        <v>47.983919999999998</v>
      </c>
      <c r="E3" s="38">
        <v>47.769829999999999</v>
      </c>
      <c r="F3" s="38">
        <v>49.853200000000001</v>
      </c>
      <c r="G3" s="38">
        <v>49.917999999999999</v>
      </c>
      <c r="H3" s="38">
        <v>49.343420000000002</v>
      </c>
      <c r="I3" s="38">
        <v>49.82</v>
      </c>
      <c r="J3" s="38">
        <v>52.83</v>
      </c>
      <c r="K3" s="38">
        <v>55.41</v>
      </c>
      <c r="L3" s="38">
        <v>59.05</v>
      </c>
      <c r="M3" s="38">
        <v>62.53</v>
      </c>
      <c r="N3" s="38">
        <v>63.92</v>
      </c>
      <c r="O3" s="38">
        <v>64.36</v>
      </c>
      <c r="P3" s="61">
        <v>67.98</v>
      </c>
      <c r="Q3" s="67">
        <f>P3/O3-1</f>
        <v>5.6246115599751567E-2</v>
      </c>
      <c r="R3" s="67">
        <f>P3/L3-1</f>
        <v>0.15122777307366642</v>
      </c>
    </row>
    <row r="4" spans="1:18" s="43" customFormat="1" x14ac:dyDescent="0.25">
      <c r="A4" s="43" t="s">
        <v>33</v>
      </c>
      <c r="B4" s="43">
        <v>27.440999999999999</v>
      </c>
      <c r="C4" s="43">
        <v>33.619999999999997</v>
      </c>
      <c r="D4" s="43">
        <v>33.784880000000001</v>
      </c>
      <c r="E4" s="43">
        <v>33.155149999999999</v>
      </c>
      <c r="F4" s="43">
        <v>34.550370000000001</v>
      </c>
      <c r="G4" s="43">
        <v>34.625</v>
      </c>
      <c r="H4" s="43">
        <v>33.960520000000002</v>
      </c>
      <c r="I4" s="43">
        <v>34.380000000000003</v>
      </c>
      <c r="J4" s="43">
        <v>37.29</v>
      </c>
      <c r="K4" s="43">
        <v>41.24</v>
      </c>
      <c r="L4" s="43">
        <v>44.13</v>
      </c>
      <c r="M4" s="43">
        <v>46.42</v>
      </c>
      <c r="N4" s="43">
        <v>46.38</v>
      </c>
      <c r="O4" s="43">
        <v>47.57</v>
      </c>
      <c r="P4" s="41">
        <v>46.16</v>
      </c>
      <c r="Q4" s="68">
        <f t="shared" ref="Q4:Q14" si="0">P4/O4-1</f>
        <v>-2.9640529745638133E-2</v>
      </c>
      <c r="R4" s="68">
        <f t="shared" ref="R4:R14" si="1">P4/L4-1</f>
        <v>4.600045320643531E-2</v>
      </c>
    </row>
    <row r="5" spans="1:18" s="43" customFormat="1" x14ac:dyDescent="0.25">
      <c r="A5" s="43" t="s">
        <v>34</v>
      </c>
      <c r="B5" s="43">
        <v>3.6030000000000002</v>
      </c>
      <c r="C5" s="43">
        <v>5.8540000000000001</v>
      </c>
      <c r="D5" s="43">
        <v>6.0702499999999997</v>
      </c>
      <c r="E5" s="43">
        <v>6.4791499999999997</v>
      </c>
      <c r="F5" s="43">
        <v>7.1688599999999996</v>
      </c>
      <c r="G5" s="43">
        <v>7.8710000000000004</v>
      </c>
      <c r="H5" s="43">
        <v>7.95411</v>
      </c>
      <c r="I5" s="43">
        <v>8.02</v>
      </c>
      <c r="J5" s="43">
        <v>8.1300000000000008</v>
      </c>
      <c r="K5" s="43">
        <v>8.5500000000000007</v>
      </c>
      <c r="L5" s="43">
        <v>9.2799999999999994</v>
      </c>
      <c r="M5" s="43">
        <v>10.5</v>
      </c>
      <c r="N5" s="43">
        <v>11.8</v>
      </c>
      <c r="O5" s="43">
        <v>12.83</v>
      </c>
      <c r="P5" s="41">
        <v>13.82</v>
      </c>
      <c r="Q5" s="68">
        <f t="shared" si="0"/>
        <v>7.7162899454403799E-2</v>
      </c>
      <c r="R5" s="68">
        <f t="shared" si="1"/>
        <v>0.4892241379310347</v>
      </c>
    </row>
    <row r="6" spans="1:18" s="43" customFormat="1" x14ac:dyDescent="0.25">
      <c r="A6" s="43" t="s">
        <v>35</v>
      </c>
      <c r="B6" s="43">
        <v>8.7539999999999996</v>
      </c>
      <c r="C6" s="43">
        <v>7.5990000000000002</v>
      </c>
      <c r="D6" s="43">
        <v>7.5929399999999996</v>
      </c>
      <c r="E6" s="43">
        <v>7.5844500000000004</v>
      </c>
      <c r="F6" s="43">
        <v>7.5839699999999999</v>
      </c>
      <c r="G6" s="43">
        <v>6.875</v>
      </c>
      <c r="H6" s="43">
        <v>6.8742700000000001</v>
      </c>
      <c r="I6" s="43">
        <v>6.87</v>
      </c>
      <c r="J6" s="43">
        <v>6.87</v>
      </c>
      <c r="K6" s="43">
        <v>5.2</v>
      </c>
      <c r="L6" s="43">
        <v>5.21</v>
      </c>
      <c r="M6" s="43">
        <v>5.17</v>
      </c>
      <c r="N6" s="43">
        <v>5.3</v>
      </c>
      <c r="O6" s="43">
        <v>3.93</v>
      </c>
      <c r="P6" s="41">
        <v>3.75</v>
      </c>
      <c r="Q6" s="68">
        <f t="shared" si="0"/>
        <v>-4.5801526717557328E-2</v>
      </c>
      <c r="R6" s="68">
        <f t="shared" si="1"/>
        <v>-0.28023032629558542</v>
      </c>
    </row>
    <row r="7" spans="1:18" s="43" customFormat="1" x14ac:dyDescent="0.25">
      <c r="A7" s="43" t="s">
        <v>36</v>
      </c>
      <c r="B7" s="43">
        <v>0.54600000000000004</v>
      </c>
      <c r="C7" s="43">
        <v>0.53500000000000003</v>
      </c>
      <c r="D7" s="43">
        <v>0.53474999999999995</v>
      </c>
      <c r="E7" s="43">
        <v>0.54993000000000003</v>
      </c>
      <c r="F7" s="43">
        <v>0.54888000000000003</v>
      </c>
      <c r="G7" s="43">
        <v>0.53500000000000003</v>
      </c>
      <c r="H7" s="43">
        <v>0.55311999999999995</v>
      </c>
      <c r="I7" s="43">
        <v>0.55000000000000004</v>
      </c>
      <c r="J7" s="43">
        <v>0.54</v>
      </c>
      <c r="K7" s="43">
        <v>0.41</v>
      </c>
      <c r="L7" s="43">
        <v>0.43</v>
      </c>
      <c r="M7" s="43">
        <v>0.44</v>
      </c>
      <c r="N7" s="43">
        <v>0.44</v>
      </c>
      <c r="O7" s="43">
        <v>0.03</v>
      </c>
      <c r="P7" s="41">
        <v>0.03</v>
      </c>
      <c r="Q7" s="68">
        <f t="shared" si="0"/>
        <v>0</v>
      </c>
      <c r="R7" s="68">
        <f t="shared" si="1"/>
        <v>-0.93023255813953487</v>
      </c>
    </row>
    <row r="8" spans="1:18" s="38" customFormat="1" ht="15.6" x14ac:dyDescent="0.3">
      <c r="A8" s="38" t="s">
        <v>37</v>
      </c>
      <c r="B8" s="38">
        <v>52.914000000000001</v>
      </c>
      <c r="C8" s="38">
        <v>50.177999999999997</v>
      </c>
      <c r="D8" s="38">
        <v>44.846519999999998</v>
      </c>
      <c r="E8" s="38">
        <v>47.966360000000002</v>
      </c>
      <c r="F8" s="38">
        <v>51.898180000000004</v>
      </c>
      <c r="G8" s="38">
        <v>57.509</v>
      </c>
      <c r="H8" s="38">
        <v>56.525179999999999</v>
      </c>
      <c r="I8" s="38">
        <v>58.55</v>
      </c>
      <c r="J8" s="38">
        <v>64.260000000000005</v>
      </c>
      <c r="K8" s="38">
        <v>66.55</v>
      </c>
      <c r="L8" s="38">
        <v>62.15</v>
      </c>
      <c r="M8" s="38">
        <v>70.64</v>
      </c>
      <c r="N8" s="38">
        <v>77.540000000000006</v>
      </c>
      <c r="O8" s="38">
        <v>79.47</v>
      </c>
      <c r="P8" s="61">
        <v>72.94</v>
      </c>
      <c r="Q8" s="67">
        <f t="shared" si="0"/>
        <v>-8.2169372090096893E-2</v>
      </c>
      <c r="R8" s="67">
        <f t="shared" si="1"/>
        <v>0.17361222847948521</v>
      </c>
    </row>
    <row r="9" spans="1:18" s="43" customFormat="1" x14ac:dyDescent="0.25">
      <c r="A9" s="43" t="s">
        <v>38</v>
      </c>
      <c r="B9" s="43">
        <v>28.364999999999998</v>
      </c>
      <c r="C9" s="43">
        <v>24.532</v>
      </c>
      <c r="D9" s="43">
        <v>25.388110000000001</v>
      </c>
      <c r="E9" s="43">
        <v>25.32066</v>
      </c>
      <c r="F9" s="43">
        <v>27.43064</v>
      </c>
      <c r="G9" s="43">
        <v>29.832999999999998</v>
      </c>
      <c r="H9" s="43">
        <v>33.137569999999997</v>
      </c>
      <c r="I9" s="43">
        <v>31.48</v>
      </c>
      <c r="J9" s="43">
        <v>32.57</v>
      </c>
      <c r="K9" s="43">
        <v>32.590000000000003</v>
      </c>
      <c r="L9" s="43">
        <v>31.29</v>
      </c>
      <c r="M9" s="43">
        <v>32.61</v>
      </c>
      <c r="N9" s="43">
        <v>39.94</v>
      </c>
      <c r="O9" s="43">
        <v>35.51</v>
      </c>
      <c r="P9" s="41">
        <v>36.67</v>
      </c>
      <c r="Q9" s="68">
        <f t="shared" si="0"/>
        <v>3.2666854407209289E-2</v>
      </c>
      <c r="R9" s="68">
        <f t="shared" si="1"/>
        <v>0.17193991690636001</v>
      </c>
    </row>
    <row r="10" spans="1:18" s="43" customFormat="1" x14ac:dyDescent="0.25">
      <c r="A10" s="43" t="s">
        <v>39</v>
      </c>
      <c r="B10" s="43">
        <v>19.891999999999999</v>
      </c>
      <c r="C10" s="43">
        <v>21.838999999999999</v>
      </c>
      <c r="D10" s="43">
        <v>14.83122</v>
      </c>
      <c r="E10" s="43">
        <v>18.250440000000001</v>
      </c>
      <c r="F10" s="43">
        <v>20.480029999999999</v>
      </c>
      <c r="G10" s="43">
        <v>23.771999999999998</v>
      </c>
      <c r="H10" s="43">
        <v>19.869959999999999</v>
      </c>
      <c r="I10" s="43">
        <v>21.31</v>
      </c>
      <c r="J10" s="43">
        <v>25.6</v>
      </c>
      <c r="K10" s="43">
        <v>28.49</v>
      </c>
      <c r="L10" s="43">
        <v>26.32</v>
      </c>
      <c r="M10" s="43">
        <v>32.799999999999997</v>
      </c>
      <c r="N10" s="43">
        <v>32.19</v>
      </c>
      <c r="O10" s="43">
        <v>34.92</v>
      </c>
      <c r="P10" s="41">
        <v>25.44</v>
      </c>
      <c r="Q10" s="68">
        <f t="shared" si="0"/>
        <v>-0.27147766323024058</v>
      </c>
      <c r="R10" s="68">
        <f t="shared" si="1"/>
        <v>-3.3434650455926973E-2</v>
      </c>
    </row>
    <row r="11" spans="1:18" s="43" customFormat="1" x14ac:dyDescent="0.25">
      <c r="A11" s="43" t="s">
        <v>40</v>
      </c>
      <c r="B11" s="43">
        <v>2.0840000000000001</v>
      </c>
      <c r="C11" s="43">
        <v>1.5980000000000001</v>
      </c>
      <c r="D11" s="43">
        <v>1.6560900000000001</v>
      </c>
      <c r="E11" s="43">
        <v>1.4</v>
      </c>
      <c r="F11" s="43">
        <v>1.6956500000000001</v>
      </c>
      <c r="G11" s="43">
        <v>1.7010000000000001</v>
      </c>
      <c r="H11" s="43">
        <v>1.26711</v>
      </c>
      <c r="I11" s="43">
        <v>1.49</v>
      </c>
      <c r="J11" s="43">
        <v>0.93</v>
      </c>
      <c r="K11" s="43">
        <v>1.3800000000000026</v>
      </c>
      <c r="L11" s="43">
        <v>1.04</v>
      </c>
      <c r="M11" s="43">
        <v>1.81</v>
      </c>
      <c r="N11" s="43">
        <v>1.73</v>
      </c>
      <c r="O11" s="43">
        <v>2.29</v>
      </c>
      <c r="P11" s="41">
        <v>2.29</v>
      </c>
      <c r="Q11" s="68">
        <f t="shared" si="0"/>
        <v>0</v>
      </c>
      <c r="R11" s="68">
        <f t="shared" si="1"/>
        <v>1.2019230769230771</v>
      </c>
    </row>
    <row r="12" spans="1:18" s="43" customFormat="1" x14ac:dyDescent="0.25">
      <c r="A12" s="43" t="s">
        <v>41</v>
      </c>
      <c r="B12" s="43">
        <v>0.89100000000000001</v>
      </c>
      <c r="C12" s="43">
        <v>1.3260000000000001</v>
      </c>
      <c r="D12" s="43">
        <v>1.75108</v>
      </c>
      <c r="E12" s="43">
        <v>1.7148000000000001</v>
      </c>
      <c r="F12" s="43">
        <v>1.48187</v>
      </c>
      <c r="G12" s="43">
        <v>1.2170000000000001</v>
      </c>
      <c r="H12" s="43">
        <v>1.35164</v>
      </c>
      <c r="I12" s="43">
        <v>1.88</v>
      </c>
      <c r="J12" s="43">
        <v>1.95</v>
      </c>
      <c r="K12" s="43">
        <v>1.47</v>
      </c>
      <c r="L12" s="43">
        <v>2.02</v>
      </c>
      <c r="M12" s="43">
        <v>2.72</v>
      </c>
      <c r="N12" s="43">
        <v>2.14</v>
      </c>
      <c r="O12" s="43">
        <v>1.27</v>
      </c>
      <c r="P12" s="41">
        <v>1.45</v>
      </c>
      <c r="Q12" s="68">
        <f t="shared" si="0"/>
        <v>0.1417322834645669</v>
      </c>
      <c r="R12" s="68">
        <f t="shared" si="1"/>
        <v>-0.28217821782178221</v>
      </c>
    </row>
    <row r="13" spans="1:18" s="43" customFormat="1" x14ac:dyDescent="0.25">
      <c r="A13" s="43" t="s">
        <v>42</v>
      </c>
      <c r="B13" s="43">
        <v>1.6819999999999999</v>
      </c>
      <c r="C13" s="43">
        <v>0.86499999999999999</v>
      </c>
      <c r="D13" s="43">
        <v>1.20242</v>
      </c>
      <c r="E13" s="43">
        <v>1.26284</v>
      </c>
      <c r="F13" s="43">
        <v>0.79237000000000002</v>
      </c>
      <c r="G13" s="43">
        <v>0.98699999999999999</v>
      </c>
      <c r="H13" s="43">
        <v>0.89890000000000003</v>
      </c>
      <c r="I13" s="43">
        <v>2.38</v>
      </c>
      <c r="J13" s="43">
        <v>3.21</v>
      </c>
      <c r="K13" s="43">
        <v>2.62</v>
      </c>
      <c r="L13" s="43">
        <v>1.48</v>
      </c>
      <c r="M13" s="43">
        <v>0.7</v>
      </c>
      <c r="N13" s="43">
        <v>1.54</v>
      </c>
      <c r="O13" s="43">
        <v>5.26</v>
      </c>
      <c r="P13" s="41">
        <v>7.09</v>
      </c>
      <c r="Q13" s="68">
        <f t="shared" si="0"/>
        <v>0.34790874524714832</v>
      </c>
      <c r="R13" s="68">
        <f t="shared" si="1"/>
        <v>3.7905405405405403</v>
      </c>
    </row>
    <row r="14" spans="1:18" s="38" customFormat="1" ht="15.6" x14ac:dyDescent="0.3">
      <c r="A14" s="38" t="s">
        <v>43</v>
      </c>
      <c r="B14" s="38">
        <v>93.259</v>
      </c>
      <c r="C14" s="38">
        <v>97.787999999999997</v>
      </c>
      <c r="D14" s="38">
        <v>92.830439999999996</v>
      </c>
      <c r="E14" s="38">
        <v>95.736189999999993</v>
      </c>
      <c r="F14" s="38">
        <v>101.75138</v>
      </c>
      <c r="G14" s="38">
        <v>107.42700000000001</v>
      </c>
      <c r="H14" s="38">
        <v>105.8686</v>
      </c>
      <c r="I14" s="38">
        <f>I3+I8</f>
        <v>108.37</v>
      </c>
      <c r="J14" s="38">
        <f>J3+J8</f>
        <v>117.09</v>
      </c>
      <c r="K14" s="38">
        <v>121.96</v>
      </c>
      <c r="L14" s="38">
        <v>121.2</v>
      </c>
      <c r="M14" s="38">
        <v>133.16999999999999</v>
      </c>
      <c r="N14" s="38">
        <v>141.46</v>
      </c>
      <c r="O14" s="38">
        <v>143.83000000000001</v>
      </c>
      <c r="P14" s="61">
        <v>140.91999999999999</v>
      </c>
      <c r="Q14" s="67">
        <f t="shared" si="0"/>
        <v>-2.0232218591392792E-2</v>
      </c>
      <c r="R14" s="67">
        <f t="shared" si="1"/>
        <v>0.16270627062706255</v>
      </c>
    </row>
    <row r="15" spans="1:18" s="11" customFormat="1" ht="15.6" x14ac:dyDescent="0.3">
      <c r="A15" s="11" t="s">
        <v>87</v>
      </c>
      <c r="Q15" s="12"/>
      <c r="R15" s="12"/>
    </row>
    <row r="16" spans="1:18" s="37" customFormat="1" ht="15.6" x14ac:dyDescent="0.3">
      <c r="A16" s="37" t="s">
        <v>44</v>
      </c>
      <c r="B16" s="38">
        <v>39.746000000000002</v>
      </c>
      <c r="C16" s="38">
        <v>42.561999999999998</v>
      </c>
      <c r="D16" s="38">
        <v>41.82405</v>
      </c>
      <c r="E16" s="38">
        <v>43.084409999999998</v>
      </c>
      <c r="F16" s="38">
        <v>43.921950000000002</v>
      </c>
      <c r="G16" s="38">
        <v>45.561999999999998</v>
      </c>
      <c r="H16" s="37">
        <v>46.305790000000002</v>
      </c>
      <c r="I16" s="37">
        <v>46.77</v>
      </c>
      <c r="J16" s="37">
        <v>48.63</v>
      </c>
      <c r="K16" s="37">
        <v>51.43</v>
      </c>
      <c r="L16" s="37">
        <v>52.43</v>
      </c>
      <c r="M16" s="38">
        <f>54.21-1.6</f>
        <v>52.61</v>
      </c>
      <c r="N16" s="38">
        <v>54.95</v>
      </c>
      <c r="O16" s="38">
        <v>53.85</v>
      </c>
      <c r="P16" s="61">
        <v>54.75</v>
      </c>
      <c r="Q16" s="69">
        <f t="shared" ref="Q16:Q29" si="2">P16/O16-1</f>
        <v>1.6713091922005541E-2</v>
      </c>
      <c r="R16" s="69">
        <f t="shared" ref="R16:R29" si="3">P16/L16-1</f>
        <v>4.4249475491131118E-2</v>
      </c>
    </row>
    <row r="17" spans="1:19" s="43" customFormat="1" x14ac:dyDescent="0.25">
      <c r="A17" s="43" t="s">
        <v>99</v>
      </c>
      <c r="B17" s="43">
        <v>-0.66600000000000004</v>
      </c>
      <c r="C17" s="43">
        <v>-1.552</v>
      </c>
      <c r="D17" s="43">
        <v>-1.5623400000000001</v>
      </c>
      <c r="E17" s="43">
        <v>-1.552</v>
      </c>
      <c r="F17" s="43">
        <v>-1.552</v>
      </c>
      <c r="G17" s="43">
        <v>-1.4690000000000001</v>
      </c>
      <c r="H17" s="43">
        <v>-1.4831799999999999</v>
      </c>
      <c r="I17" s="43">
        <v>-1.06</v>
      </c>
      <c r="J17" s="43">
        <v>-1.69</v>
      </c>
      <c r="K17" s="43">
        <v>-1.54</v>
      </c>
      <c r="L17" s="43">
        <v>-1.67</v>
      </c>
      <c r="M17" s="43">
        <v>-1.6</v>
      </c>
      <c r="N17" s="43">
        <v>-1.65</v>
      </c>
      <c r="O17" s="43">
        <v>-2.06</v>
      </c>
      <c r="P17" s="41">
        <v>-2.0499999999999998</v>
      </c>
      <c r="Q17" s="68">
        <f t="shared" si="2"/>
        <v>-4.8543689320389438E-3</v>
      </c>
      <c r="R17" s="68">
        <f t="shared" si="3"/>
        <v>0.22754491017964074</v>
      </c>
    </row>
    <row r="18" spans="1:19" s="38" customFormat="1" ht="15.6" x14ac:dyDescent="0.3">
      <c r="A18" s="38" t="s">
        <v>45</v>
      </c>
      <c r="B18" s="38">
        <v>11.294</v>
      </c>
      <c r="C18" s="38">
        <v>14.211</v>
      </c>
      <c r="D18" s="38">
        <v>14.03058</v>
      </c>
      <c r="E18" s="38">
        <v>13.18304</v>
      </c>
      <c r="F18" s="38">
        <v>14.02187</v>
      </c>
      <c r="G18" s="38">
        <v>13.750999999999999</v>
      </c>
      <c r="H18" s="38">
        <v>13.27835</v>
      </c>
      <c r="I18" s="38">
        <v>13.35</v>
      </c>
      <c r="J18" s="38">
        <v>15.47</v>
      </c>
      <c r="K18" s="38">
        <v>14.36</v>
      </c>
      <c r="L18" s="38">
        <v>14.66</v>
      </c>
      <c r="M18" s="38">
        <v>16.48</v>
      </c>
      <c r="N18" s="38">
        <v>16.57</v>
      </c>
      <c r="O18" s="38">
        <v>14.93</v>
      </c>
      <c r="P18" s="61">
        <v>18.25</v>
      </c>
      <c r="Q18" s="67">
        <f t="shared" si="2"/>
        <v>0.22237106496985937</v>
      </c>
      <c r="R18" s="67">
        <f t="shared" si="3"/>
        <v>0.24488403819918148</v>
      </c>
    </row>
    <row r="19" spans="1:19" s="43" customFormat="1" x14ac:dyDescent="0.25">
      <c r="A19" s="43" t="s">
        <v>89</v>
      </c>
      <c r="B19" s="43">
        <v>0.92400000000000004</v>
      </c>
      <c r="C19" s="43">
        <v>4.952</v>
      </c>
      <c r="D19" s="43">
        <v>4.8291199999999996</v>
      </c>
      <c r="E19" s="43">
        <v>4.4506300000000003</v>
      </c>
      <c r="F19" s="43">
        <v>4.2205599999999999</v>
      </c>
      <c r="G19" s="43">
        <v>4.149</v>
      </c>
      <c r="H19" s="43">
        <v>3.9385300000000001</v>
      </c>
      <c r="I19" s="43">
        <v>4.18</v>
      </c>
      <c r="J19" s="43">
        <v>4.78</v>
      </c>
      <c r="K19" s="43">
        <v>4.75</v>
      </c>
      <c r="L19" s="43">
        <v>4.47</v>
      </c>
      <c r="M19" s="43">
        <v>4.18</v>
      </c>
      <c r="N19" s="43">
        <v>3.99</v>
      </c>
      <c r="O19" s="43">
        <v>3.78</v>
      </c>
      <c r="P19" s="41">
        <v>3.59</v>
      </c>
      <c r="Q19" s="68">
        <f t="shared" si="2"/>
        <v>-5.0264550264550234E-2</v>
      </c>
      <c r="R19" s="68">
        <f t="shared" si="3"/>
        <v>-0.19686800894854584</v>
      </c>
    </row>
    <row r="20" spans="1:19" s="43" customFormat="1" x14ac:dyDescent="0.25">
      <c r="A20" s="43" t="s">
        <v>90</v>
      </c>
      <c r="B20" s="43">
        <v>1.2070000000000001</v>
      </c>
      <c r="C20" s="43">
        <v>1.367</v>
      </c>
      <c r="D20" s="43">
        <v>1.4194</v>
      </c>
      <c r="E20" s="43">
        <v>0.98841999999999997</v>
      </c>
      <c r="F20" s="43">
        <v>1.9958800000000001</v>
      </c>
      <c r="G20" s="43">
        <v>2.4950000000000001</v>
      </c>
      <c r="H20" s="43">
        <v>2.22953</v>
      </c>
      <c r="I20" s="43">
        <v>1.81</v>
      </c>
      <c r="J20" s="43">
        <v>2.36</v>
      </c>
      <c r="K20" s="43">
        <v>3.06</v>
      </c>
      <c r="L20" s="43">
        <f>3.56+0.3+0.79+0.12-0.01</f>
        <v>4.7600000000000007</v>
      </c>
      <c r="M20" s="43">
        <v>5.61</v>
      </c>
      <c r="N20" s="43">
        <v>6.55</v>
      </c>
      <c r="O20" s="43">
        <v>6.07</v>
      </c>
      <c r="P20" s="41">
        <v>9.42</v>
      </c>
      <c r="Q20" s="68">
        <f t="shared" si="2"/>
        <v>0.55189456342668852</v>
      </c>
      <c r="R20" s="68">
        <f t="shared" si="3"/>
        <v>0.97899159663865509</v>
      </c>
    </row>
    <row r="21" spans="1:19" s="43" customFormat="1" x14ac:dyDescent="0.25">
      <c r="A21" s="43" t="s">
        <v>91</v>
      </c>
      <c r="B21" s="43">
        <v>8.9380000000000006</v>
      </c>
      <c r="C21" s="43">
        <v>7.6440000000000001</v>
      </c>
      <c r="D21" s="43">
        <v>7.5858400000000001</v>
      </c>
      <c r="E21" s="43">
        <v>7.5584699999999998</v>
      </c>
      <c r="F21" s="43">
        <v>7.7574069999999997</v>
      </c>
      <c r="G21" s="43">
        <v>6.7110000000000003</v>
      </c>
      <c r="H21" s="43">
        <v>6.7125700000000004</v>
      </c>
      <c r="I21" s="43">
        <v>6.97</v>
      </c>
      <c r="J21" s="43">
        <v>6.67</v>
      </c>
      <c r="K21" s="43">
        <v>5.43</v>
      </c>
      <c r="L21" s="43">
        <v>5.43</v>
      </c>
      <c r="M21" s="43">
        <f>5.4+1.17+0.12</f>
        <v>6.69</v>
      </c>
      <c r="N21" s="43">
        <v>6.03</v>
      </c>
      <c r="O21" s="43">
        <v>3.64</v>
      </c>
      <c r="P21" s="41">
        <v>5.24</v>
      </c>
      <c r="Q21" s="68">
        <f t="shared" si="2"/>
        <v>0.43956043956043955</v>
      </c>
      <c r="R21" s="68">
        <f t="shared" si="3"/>
        <v>-3.4990791896869156E-2</v>
      </c>
    </row>
    <row r="22" spans="1:19" s="38" customFormat="1" ht="15.6" x14ac:dyDescent="0.3">
      <c r="A22" s="38" t="s">
        <v>46</v>
      </c>
      <c r="B22" s="38">
        <v>42.219000000000001</v>
      </c>
      <c r="C22" s="38">
        <v>41.014000000000003</v>
      </c>
      <c r="D22" s="38">
        <v>36.975810000000003</v>
      </c>
      <c r="E22" s="38">
        <v>39.468739999999997</v>
      </c>
      <c r="F22" s="38">
        <v>43.807560000000002</v>
      </c>
      <c r="G22" s="38">
        <v>48.09</v>
      </c>
      <c r="H22" s="38">
        <v>46.284460000000003</v>
      </c>
      <c r="I22" s="38">
        <v>48.25</v>
      </c>
      <c r="J22" s="38">
        <v>52.99</v>
      </c>
      <c r="K22" s="38">
        <v>56.17</v>
      </c>
      <c r="L22" s="38">
        <v>54.11</v>
      </c>
      <c r="M22" s="38">
        <v>64.08</v>
      </c>
      <c r="N22" s="38">
        <v>69.94</v>
      </c>
      <c r="O22" s="38">
        <v>75.05</v>
      </c>
      <c r="P22" s="61">
        <v>67.92</v>
      </c>
      <c r="Q22" s="67">
        <f t="shared" si="2"/>
        <v>-9.5003331112591516E-2</v>
      </c>
      <c r="R22" s="67">
        <f t="shared" si="3"/>
        <v>0.25522084642395115</v>
      </c>
    </row>
    <row r="23" spans="1:19" s="43" customFormat="1" ht="15.6" x14ac:dyDescent="0.3">
      <c r="A23" s="43" t="s">
        <v>92</v>
      </c>
      <c r="B23" s="43">
        <v>11.003</v>
      </c>
      <c r="C23" s="43">
        <v>13.885</v>
      </c>
      <c r="D23" s="43">
        <v>14.427960000000001</v>
      </c>
      <c r="E23" s="43">
        <v>15.008649999999999</v>
      </c>
      <c r="F23" s="43">
        <v>14.36107</v>
      </c>
      <c r="G23" s="43">
        <v>16.079999999999998</v>
      </c>
      <c r="H23" s="43">
        <v>13.48868</v>
      </c>
      <c r="I23" s="43">
        <v>14.02</v>
      </c>
      <c r="J23" s="43">
        <v>18.34</v>
      </c>
      <c r="K23" s="43">
        <v>17.579999999999998</v>
      </c>
      <c r="L23" s="43">
        <v>19.309999999999999</v>
      </c>
      <c r="M23" s="43">
        <v>22.97</v>
      </c>
      <c r="N23" s="43">
        <v>22.94</v>
      </c>
      <c r="O23" s="43">
        <f>24.52-0.8</f>
        <v>23.72</v>
      </c>
      <c r="P23" s="41">
        <v>27.47</v>
      </c>
      <c r="Q23" s="68">
        <f t="shared" si="2"/>
        <v>0.15809443507588528</v>
      </c>
      <c r="R23" s="68">
        <f t="shared" si="3"/>
        <v>0.42257897462454697</v>
      </c>
      <c r="S23" s="38"/>
    </row>
    <row r="24" spans="1:19" s="43" customFormat="1" x14ac:dyDescent="0.25">
      <c r="A24" s="43" t="s">
        <v>93</v>
      </c>
      <c r="B24" s="43">
        <v>4.7679999999999998</v>
      </c>
      <c r="C24" s="43">
        <v>4.1550000000000002</v>
      </c>
      <c r="D24" s="43">
        <v>4.4484300000000001</v>
      </c>
      <c r="E24" s="43">
        <v>4.59239</v>
      </c>
      <c r="F24" s="43">
        <v>5.8044000000000002</v>
      </c>
      <c r="G24" s="43">
        <v>4.3739999999999997</v>
      </c>
      <c r="H24" s="43">
        <v>6.7157099999999996</v>
      </c>
      <c r="I24" s="43">
        <v>7.23</v>
      </c>
      <c r="J24" s="43">
        <v>5.52</v>
      </c>
      <c r="K24" s="43">
        <v>6.82</v>
      </c>
      <c r="L24" s="43">
        <v>8.7799999999999994</v>
      </c>
      <c r="M24" s="43">
        <v>8.02</v>
      </c>
      <c r="N24" s="43">
        <v>10.26</v>
      </c>
      <c r="O24" s="43">
        <v>9.66</v>
      </c>
      <c r="P24" s="41">
        <v>8.9499999999999993</v>
      </c>
      <c r="Q24" s="68">
        <f t="shared" si="2"/>
        <v>-7.349896480331275E-2</v>
      </c>
      <c r="R24" s="68">
        <f t="shared" si="3"/>
        <v>1.9362186788154823E-2</v>
      </c>
    </row>
    <row r="25" spans="1:19" s="43" customFormat="1" x14ac:dyDescent="0.25">
      <c r="A25" s="43" t="s">
        <v>94</v>
      </c>
      <c r="B25" s="43">
        <v>21.260999999999999</v>
      </c>
      <c r="C25" s="43">
        <v>17.181000000000001</v>
      </c>
      <c r="D25" s="43">
        <v>12.296720000000001</v>
      </c>
      <c r="E25" s="43">
        <v>14.35238</v>
      </c>
      <c r="F25" s="43">
        <v>15.56607</v>
      </c>
      <c r="G25" s="43">
        <v>21.100999999999999</v>
      </c>
      <c r="H25" s="43">
        <v>19.199719999999999</v>
      </c>
      <c r="I25" s="43">
        <v>16.91</v>
      </c>
      <c r="J25" s="43">
        <v>18.29</v>
      </c>
      <c r="K25" s="43">
        <v>21.29</v>
      </c>
      <c r="L25" s="43">
        <v>14.26</v>
      </c>
      <c r="M25" s="43">
        <f>19.09</f>
        <v>19.09</v>
      </c>
      <c r="N25" s="43">
        <v>22.7</v>
      </c>
      <c r="O25" s="43">
        <v>29.88</v>
      </c>
      <c r="P25" s="41">
        <v>19.13</v>
      </c>
      <c r="Q25" s="68">
        <f t="shared" si="2"/>
        <v>-0.35977242302543511</v>
      </c>
      <c r="R25" s="68">
        <f t="shared" si="3"/>
        <v>0.34151472650771386</v>
      </c>
    </row>
    <row r="26" spans="1:19" s="43" customFormat="1" x14ac:dyDescent="0.25">
      <c r="A26" s="43" t="s">
        <v>95</v>
      </c>
      <c r="B26" s="43">
        <v>3.3809999999999998</v>
      </c>
      <c r="C26" s="43">
        <v>4.2569999999999997</v>
      </c>
      <c r="D26" s="43">
        <v>4.0276500000000004</v>
      </c>
      <c r="E26" s="43">
        <v>3.6376900000000001</v>
      </c>
      <c r="F26" s="43">
        <v>4.6780499999999998</v>
      </c>
      <c r="G26" s="43">
        <v>4.7350000000000003</v>
      </c>
      <c r="H26" s="43">
        <v>4.51206</v>
      </c>
      <c r="I26" s="43">
        <v>5.75</v>
      </c>
      <c r="J26" s="43">
        <v>5.15</v>
      </c>
      <c r="K26" s="43">
        <v>6.06</v>
      </c>
      <c r="L26" s="43">
        <v>6.24</v>
      </c>
      <c r="M26" s="43">
        <v>7.92</v>
      </c>
      <c r="N26" s="43">
        <v>6.74</v>
      </c>
      <c r="O26" s="43">
        <v>7.25</v>
      </c>
      <c r="P26" s="41">
        <v>7.37</v>
      </c>
      <c r="Q26" s="68">
        <f t="shared" si="2"/>
        <v>1.6551724137931156E-2</v>
      </c>
      <c r="R26" s="68">
        <f t="shared" si="3"/>
        <v>0.18108974358974361</v>
      </c>
    </row>
    <row r="27" spans="1:19" s="43" customFormat="1" x14ac:dyDescent="0.25">
      <c r="A27" s="43" t="s">
        <v>110</v>
      </c>
      <c r="B27" s="43">
        <v>0.82699999999999996</v>
      </c>
      <c r="C27" s="43">
        <v>0.92700000000000005</v>
      </c>
      <c r="D27" s="43">
        <v>1.2202</v>
      </c>
      <c r="E27" s="43">
        <v>1.7579800000000001</v>
      </c>
      <c r="F27" s="43">
        <v>2.8669899999999999</v>
      </c>
      <c r="G27" s="43">
        <v>1.1830000000000001</v>
      </c>
      <c r="H27" s="43">
        <v>1.76814</v>
      </c>
      <c r="I27" s="43">
        <v>3.82</v>
      </c>
      <c r="J27" s="43">
        <v>4.7300000000000004</v>
      </c>
      <c r="K27" s="43">
        <v>4.22</v>
      </c>
      <c r="L27" s="43">
        <f>0.46+5.06</f>
        <v>5.52</v>
      </c>
      <c r="M27" s="43">
        <v>6.08</v>
      </c>
      <c r="N27" s="43">
        <v>7.3</v>
      </c>
      <c r="O27" s="43">
        <v>4.22</v>
      </c>
      <c r="P27" s="41">
        <v>5</v>
      </c>
      <c r="Q27" s="68">
        <f t="shared" si="2"/>
        <v>0.18483412322274884</v>
      </c>
      <c r="R27" s="68">
        <f t="shared" si="3"/>
        <v>-9.4202898550724612E-2</v>
      </c>
    </row>
    <row r="28" spans="1:19" s="38" customFormat="1" ht="15.6" x14ac:dyDescent="0.3">
      <c r="A28" s="38" t="s">
        <v>47</v>
      </c>
      <c r="B28" s="38">
        <v>93.259</v>
      </c>
      <c r="C28" s="38">
        <v>97.787999999999997</v>
      </c>
      <c r="D28" s="38">
        <v>92.830439999999996</v>
      </c>
      <c r="E28" s="38">
        <v>95.736189999999993</v>
      </c>
      <c r="F28" s="38">
        <v>101.75138</v>
      </c>
      <c r="G28" s="38">
        <v>107.42700000000001</v>
      </c>
      <c r="H28" s="38">
        <v>105.8686</v>
      </c>
      <c r="I28" s="38">
        <f>I16+I18+I22</f>
        <v>108.37</v>
      </c>
      <c r="J28" s="38">
        <f>J16+J18+J22</f>
        <v>117.09</v>
      </c>
      <c r="K28" s="38">
        <v>121.96</v>
      </c>
      <c r="L28" s="38">
        <v>121.2</v>
      </c>
      <c r="M28" s="38">
        <v>133.16999999999999</v>
      </c>
      <c r="N28" s="38">
        <v>141.46</v>
      </c>
      <c r="O28" s="38">
        <v>143.83000000000001</v>
      </c>
      <c r="P28" s="61">
        <v>140.91999999999999</v>
      </c>
      <c r="Q28" s="67">
        <f t="shared" si="2"/>
        <v>-2.0232218591392792E-2</v>
      </c>
      <c r="R28" s="67">
        <f t="shared" si="3"/>
        <v>0.16270627062706255</v>
      </c>
    </row>
    <row r="29" spans="1:19" s="43" customFormat="1" x14ac:dyDescent="0.25">
      <c r="A29" s="43" t="s">
        <v>48</v>
      </c>
      <c r="B29" s="43">
        <v>5.52</v>
      </c>
      <c r="C29" s="43">
        <v>5.91</v>
      </c>
      <c r="D29" s="43">
        <v>12.9</v>
      </c>
      <c r="E29" s="43">
        <v>13.3</v>
      </c>
      <c r="F29" s="43">
        <v>14.13</v>
      </c>
      <c r="G29" s="43">
        <v>14.92</v>
      </c>
      <c r="H29" s="43">
        <v>14.71</v>
      </c>
      <c r="I29" s="43">
        <v>15.05</v>
      </c>
      <c r="J29" s="43">
        <v>16.260000000000002</v>
      </c>
      <c r="K29" s="43">
        <v>17.04</v>
      </c>
      <c r="L29" s="43">
        <v>16.84</v>
      </c>
      <c r="M29" s="43">
        <v>18.5</v>
      </c>
      <c r="N29" s="43">
        <v>19.649999999999999</v>
      </c>
      <c r="O29" s="43">
        <v>19.98</v>
      </c>
      <c r="P29" s="41">
        <v>19.579999999999998</v>
      </c>
      <c r="Q29" s="68">
        <f t="shared" si="2"/>
        <v>-2.0020020020020124E-2</v>
      </c>
      <c r="R29" s="68">
        <f t="shared" si="3"/>
        <v>0.16270783847980996</v>
      </c>
    </row>
    <row r="30" spans="1:19" s="35" customFormat="1" x14ac:dyDescent="0.25">
      <c r="L30" s="45"/>
      <c r="P30" s="13"/>
      <c r="Q30" s="64"/>
      <c r="R30" s="64"/>
    </row>
    <row r="31" spans="1:19" s="35" customFormat="1" x14ac:dyDescent="0.25">
      <c r="A31" s="66"/>
      <c r="P31" s="13"/>
      <c r="Q31" s="46"/>
      <c r="R31" s="64"/>
    </row>
    <row r="32" spans="1:19" x14ac:dyDescent="0.25">
      <c r="P32" s="13"/>
      <c r="Q32" s="59"/>
    </row>
    <row r="33" spans="16:16" x14ac:dyDescent="0.25">
      <c r="P33" s="13"/>
    </row>
    <row r="34" spans="16:16" x14ac:dyDescent="0.25">
      <c r="P34" s="13"/>
    </row>
    <row r="35" spans="16:16" x14ac:dyDescent="0.25">
      <c r="P35" s="13"/>
    </row>
    <row r="36" spans="16:16" x14ac:dyDescent="0.25">
      <c r="P36" s="13"/>
    </row>
    <row r="37" spans="16:16" x14ac:dyDescent="0.25">
      <c r="P37" s="13"/>
    </row>
    <row r="38" spans="16:16" x14ac:dyDescent="0.25">
      <c r="P38" s="13"/>
    </row>
    <row r="39" spans="16:16" x14ac:dyDescent="0.25">
      <c r="P39" s="13"/>
    </row>
    <row r="40" spans="16:16" x14ac:dyDescent="0.25">
      <c r="P40" s="13"/>
    </row>
    <row r="41" spans="16:16" x14ac:dyDescent="0.25">
      <c r="P41" s="13"/>
    </row>
    <row r="42" spans="16:16" x14ac:dyDescent="0.25">
      <c r="P42" s="13"/>
    </row>
    <row r="43" spans="16:16" x14ac:dyDescent="0.25">
      <c r="P43" s="13"/>
    </row>
    <row r="44" spans="16:16" x14ac:dyDescent="0.25">
      <c r="P44" s="13"/>
    </row>
    <row r="45" spans="16:16" x14ac:dyDescent="0.25">
      <c r="P45" s="13"/>
    </row>
    <row r="46" spans="16:16" x14ac:dyDescent="0.25">
      <c r="P46" s="13"/>
    </row>
    <row r="47" spans="16:16" x14ac:dyDescent="0.25">
      <c r="P47" s="13"/>
    </row>
    <row r="48" spans="16:16" x14ac:dyDescent="0.25">
      <c r="P48" s="13"/>
    </row>
    <row r="49" spans="16:16" x14ac:dyDescent="0.25">
      <c r="P49" s="13"/>
    </row>
    <row r="50" spans="16:16" x14ac:dyDescent="0.25">
      <c r="P50" s="13"/>
    </row>
    <row r="51" spans="16:16" x14ac:dyDescent="0.25">
      <c r="P51" s="13"/>
    </row>
    <row r="52" spans="16:16" x14ac:dyDescent="0.25">
      <c r="P52" s="13"/>
    </row>
    <row r="53" spans="16:16" x14ac:dyDescent="0.25">
      <c r="P53" s="13"/>
    </row>
    <row r="54" spans="16:16" x14ac:dyDescent="0.25">
      <c r="P54" s="13"/>
    </row>
    <row r="55" spans="16:16" x14ac:dyDescent="0.25">
      <c r="P55" s="13"/>
    </row>
    <row r="56" spans="16:16" x14ac:dyDescent="0.25">
      <c r="P56" s="13"/>
    </row>
    <row r="57" spans="16:16" x14ac:dyDescent="0.25">
      <c r="P57" s="13"/>
    </row>
    <row r="58" spans="16:16" x14ac:dyDescent="0.25">
      <c r="P58" s="13"/>
    </row>
    <row r="59" spans="16:16" x14ac:dyDescent="0.25">
      <c r="P59" s="13"/>
    </row>
    <row r="60" spans="16:16" x14ac:dyDescent="0.25">
      <c r="P60" s="13"/>
    </row>
    <row r="61" spans="16:16" x14ac:dyDescent="0.25">
      <c r="P61" s="13"/>
    </row>
    <row r="62" spans="16:16" x14ac:dyDescent="0.25">
      <c r="P62" s="13"/>
    </row>
    <row r="63" spans="16:16" x14ac:dyDescent="0.25">
      <c r="P63" s="13"/>
    </row>
    <row r="64" spans="16:16" x14ac:dyDescent="0.25">
      <c r="P64" s="13"/>
    </row>
    <row r="65" spans="16:16" x14ac:dyDescent="0.25">
      <c r="P65" s="13"/>
    </row>
    <row r="66" spans="16:16" x14ac:dyDescent="0.25">
      <c r="P66" s="13"/>
    </row>
    <row r="67" spans="16:16" x14ac:dyDescent="0.25">
      <c r="P67" s="13"/>
    </row>
    <row r="68" spans="16:16" x14ac:dyDescent="0.25">
      <c r="P68" s="13"/>
    </row>
    <row r="69" spans="16:16" x14ac:dyDescent="0.25">
      <c r="P69" s="13"/>
    </row>
    <row r="70" spans="16:16" x14ac:dyDescent="0.25">
      <c r="P70" s="13"/>
    </row>
    <row r="71" spans="16:16" x14ac:dyDescent="0.25">
      <c r="P71" s="13"/>
    </row>
    <row r="72" spans="16:16" x14ac:dyDescent="0.25">
      <c r="P72" s="13"/>
    </row>
    <row r="73" spans="16:16" x14ac:dyDescent="0.25">
      <c r="P73" s="13"/>
    </row>
    <row r="74" spans="16:16" x14ac:dyDescent="0.25">
      <c r="P74" s="13"/>
    </row>
    <row r="75" spans="16:16" x14ac:dyDescent="0.25">
      <c r="P75" s="13"/>
    </row>
    <row r="76" spans="16:16" x14ac:dyDescent="0.25">
      <c r="P76" s="13"/>
    </row>
    <row r="77" spans="16:16" x14ac:dyDescent="0.25">
      <c r="P77" s="13"/>
    </row>
    <row r="78" spans="16:16" x14ac:dyDescent="0.25">
      <c r="P78" s="13"/>
    </row>
    <row r="79" spans="16:16" x14ac:dyDescent="0.25">
      <c r="P79" s="13"/>
    </row>
    <row r="80" spans="16:16" x14ac:dyDescent="0.25">
      <c r="P80" s="13"/>
    </row>
    <row r="81" spans="16:16" x14ac:dyDescent="0.25">
      <c r="P81" s="13"/>
    </row>
    <row r="82" spans="16:16" x14ac:dyDescent="0.25">
      <c r="P82" s="13"/>
    </row>
    <row r="83" spans="16:16" x14ac:dyDescent="0.25">
      <c r="P83" s="13"/>
    </row>
    <row r="84" spans="16:16" x14ac:dyDescent="0.25">
      <c r="P84" s="13"/>
    </row>
    <row r="85" spans="16:16" x14ac:dyDescent="0.25">
      <c r="P85" s="13"/>
    </row>
    <row r="86" spans="16:16" x14ac:dyDescent="0.25">
      <c r="P86" s="13"/>
    </row>
    <row r="87" spans="16:16" x14ac:dyDescent="0.25">
      <c r="P87" s="13"/>
    </row>
    <row r="88" spans="16:16" x14ac:dyDescent="0.25">
      <c r="P88" s="13"/>
    </row>
    <row r="89" spans="16:16" x14ac:dyDescent="0.25">
      <c r="P89" s="13"/>
    </row>
    <row r="90" spans="16:16" x14ac:dyDescent="0.25">
      <c r="P90" s="13"/>
    </row>
    <row r="91" spans="16:16" x14ac:dyDescent="0.25">
      <c r="P91" s="13"/>
    </row>
    <row r="92" spans="16:16" x14ac:dyDescent="0.25">
      <c r="P92" s="13"/>
    </row>
    <row r="93" spans="16:16" x14ac:dyDescent="0.25">
      <c r="P93" s="13"/>
    </row>
    <row r="94" spans="16:16" x14ac:dyDescent="0.25">
      <c r="P94" s="13"/>
    </row>
    <row r="95" spans="16:16" x14ac:dyDescent="0.25">
      <c r="P95" s="13"/>
    </row>
    <row r="96" spans="16:16" x14ac:dyDescent="0.25">
      <c r="P96" s="13"/>
    </row>
    <row r="97" spans="16:16" x14ac:dyDescent="0.25">
      <c r="P97" s="13"/>
    </row>
    <row r="98" spans="16:16" x14ac:dyDescent="0.25">
      <c r="P98" s="13"/>
    </row>
    <row r="99" spans="16:16" x14ac:dyDescent="0.25">
      <c r="P99" s="13"/>
    </row>
    <row r="100" spans="16:16" x14ac:dyDescent="0.25">
      <c r="P100" s="13"/>
    </row>
    <row r="101" spans="16:16" x14ac:dyDescent="0.25">
      <c r="P101" s="13"/>
    </row>
    <row r="102" spans="16:16" x14ac:dyDescent="0.25">
      <c r="P102" s="13"/>
    </row>
    <row r="103" spans="16:16" x14ac:dyDescent="0.25">
      <c r="P103" s="13"/>
    </row>
    <row r="104" spans="16:16" x14ac:dyDescent="0.25">
      <c r="P104" s="13"/>
    </row>
    <row r="105" spans="16:16" x14ac:dyDescent="0.25">
      <c r="P105" s="13"/>
    </row>
    <row r="106" spans="16:16" x14ac:dyDescent="0.25">
      <c r="P106" s="13"/>
    </row>
    <row r="107" spans="16:16" x14ac:dyDescent="0.25">
      <c r="P107" s="13"/>
    </row>
    <row r="108" spans="16:16" x14ac:dyDescent="0.25">
      <c r="P108" s="13"/>
    </row>
    <row r="109" spans="16:16" x14ac:dyDescent="0.25">
      <c r="P109" s="13"/>
    </row>
    <row r="110" spans="16:16" x14ac:dyDescent="0.25">
      <c r="P110" s="13"/>
    </row>
    <row r="111" spans="16:16" x14ac:dyDescent="0.25">
      <c r="P111" s="13"/>
    </row>
    <row r="112" spans="16:16" x14ac:dyDescent="0.25">
      <c r="P112" s="13"/>
    </row>
    <row r="113" spans="16:16" x14ac:dyDescent="0.25">
      <c r="P113" s="13"/>
    </row>
    <row r="114" spans="16:16" x14ac:dyDescent="0.25">
      <c r="P114" s="13"/>
    </row>
    <row r="115" spans="16:16" x14ac:dyDescent="0.25">
      <c r="P115" s="13"/>
    </row>
    <row r="116" spans="16:16" x14ac:dyDescent="0.25">
      <c r="P116" s="13"/>
    </row>
    <row r="117" spans="16:16" x14ac:dyDescent="0.25">
      <c r="P117" s="13"/>
    </row>
    <row r="118" spans="16:16" x14ac:dyDescent="0.25">
      <c r="P118" s="13"/>
    </row>
    <row r="119" spans="16:16" x14ac:dyDescent="0.25">
      <c r="P119" s="13"/>
    </row>
    <row r="120" spans="16:16" x14ac:dyDescent="0.25">
      <c r="P120" s="13"/>
    </row>
    <row r="121" spans="16:16" x14ac:dyDescent="0.25">
      <c r="P121" s="13"/>
    </row>
    <row r="122" spans="16:16" x14ac:dyDescent="0.25">
      <c r="P122" s="13"/>
    </row>
    <row r="123" spans="16:16" x14ac:dyDescent="0.25">
      <c r="P123" s="13"/>
    </row>
    <row r="124" spans="16:16" x14ac:dyDescent="0.25">
      <c r="P124" s="13"/>
    </row>
    <row r="125" spans="16:16" x14ac:dyDescent="0.25">
      <c r="P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8"/>
  <sheetViews>
    <sheetView zoomScaleNormal="100" workbookViewId="0">
      <pane xSplit="1" ySplit="1" topLeftCell="F11" activePane="bottomRight" state="frozenSplit"/>
      <selection pane="topRight" activeCell="B1" sqref="B1"/>
      <selection pane="bottomLeft" activeCell="A39" sqref="A39"/>
      <selection pane="bottomRight" activeCell="K30" sqref="K30"/>
    </sheetView>
  </sheetViews>
  <sheetFormatPr defaultColWidth="10.54296875" defaultRowHeight="15" x14ac:dyDescent="0.25"/>
  <cols>
    <col min="1" max="1" width="43.7265625" style="10" customWidth="1"/>
    <col min="2" max="13" width="10.54296875" style="10"/>
    <col min="14" max="14" width="10.54296875" style="13"/>
    <col min="15" max="16" width="10.54296875" style="3"/>
    <col min="17" max="16384" width="10.54296875" style="10"/>
  </cols>
  <sheetData>
    <row r="1" spans="1:18" s="4" customFormat="1" ht="15.6" x14ac:dyDescent="0.3">
      <c r="A1" s="6" t="s">
        <v>119</v>
      </c>
      <c r="B1" s="4" t="s">
        <v>101</v>
      </c>
      <c r="C1" s="4" t="s">
        <v>102</v>
      </c>
      <c r="D1" s="37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4" t="s">
        <v>165</v>
      </c>
      <c r="N1" s="7" t="s">
        <v>169</v>
      </c>
      <c r="O1" s="5" t="s">
        <v>78</v>
      </c>
      <c r="P1" s="5" t="s">
        <v>77</v>
      </c>
    </row>
    <row r="2" spans="1:18" s="11" customFormat="1" ht="15.6" x14ac:dyDescent="0.3">
      <c r="A2" s="11" t="s">
        <v>50</v>
      </c>
      <c r="O2" s="12"/>
      <c r="P2" s="12"/>
    </row>
    <row r="3" spans="1:18" x14ac:dyDescent="0.25">
      <c r="A3" s="10" t="s">
        <v>20</v>
      </c>
      <c r="B3" s="10">
        <v>-0.79154000000000002</v>
      </c>
      <c r="C3" s="10">
        <v>1.47777</v>
      </c>
      <c r="D3" s="10">
        <v>1.22821</v>
      </c>
      <c r="E3" s="10">
        <v>2.0459999999999998</v>
      </c>
      <c r="F3" s="10">
        <v>0.82</v>
      </c>
      <c r="G3" s="10">
        <v>1.49</v>
      </c>
      <c r="H3" s="10">
        <v>1.73</v>
      </c>
      <c r="I3" s="10">
        <v>4.629999999999999</v>
      </c>
      <c r="J3" s="10">
        <v>0.99</v>
      </c>
      <c r="K3" s="10">
        <v>1.7300000000000002</v>
      </c>
      <c r="L3" s="10">
        <f>4.79-K3-J3</f>
        <v>2.0699999999999994</v>
      </c>
      <c r="M3" s="10">
        <f>Cashflow_FY!F3-J3-K3-L3</f>
        <v>0.25</v>
      </c>
      <c r="N3" s="13">
        <v>1.08</v>
      </c>
      <c r="O3" s="3">
        <f>N3/M3-1</f>
        <v>3.3200000000000003</v>
      </c>
      <c r="P3" s="3">
        <f>N3/J3-1</f>
        <v>9.090909090909105E-2</v>
      </c>
    </row>
    <row r="4" spans="1:18" x14ac:dyDescent="0.25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-0.13700000000000001</v>
      </c>
      <c r="F4" s="10">
        <v>2.86</v>
      </c>
      <c r="G4" s="10">
        <v>1.26</v>
      </c>
      <c r="H4" s="10">
        <v>-2.09</v>
      </c>
      <c r="I4" s="10">
        <v>-2.2300000000000004</v>
      </c>
      <c r="J4" s="10">
        <v>-1.19</v>
      </c>
      <c r="K4" s="10">
        <v>-1.96</v>
      </c>
      <c r="L4" s="10">
        <f>-3.28-J4-K4</f>
        <v>-0.12999999999999989</v>
      </c>
      <c r="M4" s="10">
        <f>Cashflow_FY!F4-J4-K4-L4</f>
        <v>8.98</v>
      </c>
      <c r="N4" s="13">
        <v>-0.04</v>
      </c>
      <c r="O4" s="3">
        <f t="shared" ref="O4:O13" si="0">N4/M4-1</f>
        <v>-1.0044543429844097</v>
      </c>
      <c r="P4" s="3">
        <f t="shared" ref="P4:P13" si="1">N4/J4-1</f>
        <v>-0.96638655462184875</v>
      </c>
    </row>
    <row r="5" spans="1:18" x14ac:dyDescent="0.25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1.2889999999999999</v>
      </c>
      <c r="F5" s="10">
        <v>1.2347699999999999</v>
      </c>
      <c r="G5" s="10">
        <v>1.22</v>
      </c>
      <c r="H5" s="10">
        <v>1.28</v>
      </c>
      <c r="I5" s="10">
        <v>1.2952300000000003</v>
      </c>
      <c r="J5" s="10">
        <v>1.5</v>
      </c>
      <c r="K5" s="10">
        <v>1.6099999999999999</v>
      </c>
      <c r="L5" s="10">
        <f>4.79-J5-K5</f>
        <v>1.6800000000000002</v>
      </c>
      <c r="M5" s="10">
        <f>Cashflow_FY!F5-J5-K5-L5</f>
        <v>2.0499999999999998</v>
      </c>
      <c r="N5" s="13">
        <v>1.98</v>
      </c>
      <c r="O5" s="3">
        <f t="shared" si="0"/>
        <v>-3.4146341463414553E-2</v>
      </c>
      <c r="P5" s="3">
        <f t="shared" si="1"/>
        <v>0.32000000000000006</v>
      </c>
    </row>
    <row r="6" spans="1:18" x14ac:dyDescent="0.25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0.78</v>
      </c>
      <c r="F6" s="10">
        <v>-0.21937999999999999</v>
      </c>
      <c r="G6" s="10">
        <v>-0.6</v>
      </c>
      <c r="H6" s="10">
        <v>0.83</v>
      </c>
      <c r="I6" s="10">
        <v>-1.3306200000000001</v>
      </c>
      <c r="J6" s="10">
        <v>-0.03</v>
      </c>
      <c r="K6" s="10">
        <v>-0.37</v>
      </c>
      <c r="L6" s="10">
        <f>-0.28-K6-J6</f>
        <v>0.11999999999999997</v>
      </c>
      <c r="M6" s="10">
        <f>Cashflow_FY!F6-J6-K6-L6</f>
        <v>0.26</v>
      </c>
      <c r="N6" s="13">
        <v>0.01</v>
      </c>
      <c r="O6" s="3">
        <f t="shared" si="0"/>
        <v>-0.96153846153846156</v>
      </c>
      <c r="P6" s="3">
        <f t="shared" si="1"/>
        <v>-1.3333333333333335</v>
      </c>
    </row>
    <row r="7" spans="1:18" x14ac:dyDescent="0.25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0.372</v>
      </c>
      <c r="F7" s="10">
        <v>0.16689999999999999</v>
      </c>
      <c r="G7" s="10">
        <v>0.18</v>
      </c>
      <c r="H7" s="10">
        <v>0.17</v>
      </c>
      <c r="I7" s="10">
        <v>0.21309999999999993</v>
      </c>
      <c r="J7" s="10">
        <v>0.22</v>
      </c>
      <c r="K7" s="10">
        <v>0.26</v>
      </c>
      <c r="L7" s="10">
        <f>0.78-K7-J7</f>
        <v>0.30000000000000004</v>
      </c>
      <c r="M7" s="10">
        <f>Cashflow_FY!F7-J7-K7-L7</f>
        <v>0.36999999999999988</v>
      </c>
      <c r="N7" s="13">
        <v>0.34</v>
      </c>
      <c r="O7" s="3">
        <f t="shared" si="0"/>
        <v>-8.1081081081080697E-2</v>
      </c>
      <c r="P7" s="3">
        <f t="shared" si="1"/>
        <v>0.54545454545454564</v>
      </c>
    </row>
    <row r="8" spans="1:18" x14ac:dyDescent="0.25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-1.522</v>
      </c>
      <c r="F8" s="10">
        <v>0.58592</v>
      </c>
      <c r="G8" s="10">
        <v>2.0499999999999998</v>
      </c>
      <c r="H8" s="10">
        <v>2.1800000000000002</v>
      </c>
      <c r="I8" s="10">
        <v>-1.4559200000000003</v>
      </c>
      <c r="J8" s="10">
        <v>1.37</v>
      </c>
      <c r="K8" s="10">
        <v>0.48</v>
      </c>
      <c r="L8" s="10">
        <f>2.26-J8-K8</f>
        <v>0.4099999999999997</v>
      </c>
      <c r="M8" s="10">
        <f>Cashflow_FY!F9-J8-K8-L8</f>
        <v>-1.9099999999999997</v>
      </c>
      <c r="N8" s="13">
        <v>0.63</v>
      </c>
      <c r="O8" s="3">
        <f t="shared" si="0"/>
        <v>-1.329842931937173</v>
      </c>
      <c r="P8" s="3">
        <f t="shared" si="1"/>
        <v>-0.54014598540145986</v>
      </c>
    </row>
    <row r="9" spans="1:18" x14ac:dyDescent="0.25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-2.4020000000000001</v>
      </c>
      <c r="F9" s="10">
        <v>-3.3047300000000002</v>
      </c>
      <c r="G9" s="10">
        <v>1.65</v>
      </c>
      <c r="H9" s="10">
        <v>-1.08</v>
      </c>
      <c r="I9" s="10">
        <v>-2.526999999999946E-2</v>
      </c>
      <c r="J9" s="10">
        <v>1.3</v>
      </c>
      <c r="K9" s="10">
        <v>-1.32</v>
      </c>
      <c r="L9" s="10">
        <f>-7.35-K9-J9</f>
        <v>-7.3299999999999992</v>
      </c>
      <c r="M9" s="10">
        <f>Cashflow_FY!F10-J9-K9-L9</f>
        <v>3.8099999999999996</v>
      </c>
      <c r="N9" s="13">
        <v>-1.04</v>
      </c>
      <c r="O9" s="3">
        <f t="shared" si="0"/>
        <v>-1.272965879265092</v>
      </c>
      <c r="P9" s="3">
        <f t="shared" si="1"/>
        <v>-1.8</v>
      </c>
    </row>
    <row r="10" spans="1:18" x14ac:dyDescent="0.25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-3.2970000000000002</v>
      </c>
      <c r="F10" s="10">
        <v>4.3353599999999997</v>
      </c>
      <c r="G10" s="10">
        <v>-1.67</v>
      </c>
      <c r="H10" s="10">
        <v>-3.73</v>
      </c>
      <c r="I10" s="10">
        <v>-3.2053599999999993</v>
      </c>
      <c r="J10" s="10">
        <v>2.5</v>
      </c>
      <c r="K10" s="10">
        <v>-7.26</v>
      </c>
      <c r="L10" s="10">
        <f>-4.08-J10-K10</f>
        <v>0.67999999999999972</v>
      </c>
      <c r="M10" s="10">
        <f>Cashflow_FY!F11-J10-K10-L10</f>
        <v>-2.8699999999999992</v>
      </c>
      <c r="N10" s="13">
        <v>9.4600000000000009</v>
      </c>
      <c r="O10" s="3">
        <f t="shared" si="0"/>
        <v>-4.2961672473867605</v>
      </c>
      <c r="P10" s="3">
        <f t="shared" si="1"/>
        <v>2.7840000000000003</v>
      </c>
    </row>
    <row r="11" spans="1:18" x14ac:dyDescent="0.25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5.9459999999999997</v>
      </c>
      <c r="F11" s="10">
        <v>0.20008999999999999</v>
      </c>
      <c r="G11" s="10">
        <v>-1.21</v>
      </c>
      <c r="H11" s="10">
        <v>-1.35</v>
      </c>
      <c r="I11" s="10">
        <v>3.8599100000000002</v>
      </c>
      <c r="J11" s="10">
        <v>-6.85</v>
      </c>
      <c r="K11" s="10">
        <v>5.5299999999999994</v>
      </c>
      <c r="L11" s="10">
        <f>2.14-K11-J11</f>
        <v>3.4600000000000004</v>
      </c>
      <c r="M11" s="10">
        <f>Cashflow_FY!F12-J11-K11-L11</f>
        <v>7.8600000000000012</v>
      </c>
      <c r="N11" s="13">
        <v>-11.4</v>
      </c>
      <c r="O11" s="3">
        <f t="shared" si="0"/>
        <v>-2.4503816793893129</v>
      </c>
      <c r="P11" s="3">
        <f t="shared" si="1"/>
        <v>0.66423357664233595</v>
      </c>
    </row>
    <row r="12" spans="1:18" x14ac:dyDescent="0.25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-1.302</v>
      </c>
      <c r="F12" s="10">
        <v>-0.13431000000000001</v>
      </c>
      <c r="G12" s="10">
        <v>-0.35</v>
      </c>
      <c r="H12" s="10">
        <v>-0.33</v>
      </c>
      <c r="I12" s="10">
        <v>-1.5356899999999998</v>
      </c>
      <c r="J12" s="10">
        <v>-0.54</v>
      </c>
      <c r="K12" s="10">
        <v>-0.75</v>
      </c>
      <c r="L12" s="10">
        <f>-0.92-J12-K12</f>
        <v>0.37</v>
      </c>
      <c r="M12" s="10">
        <f>Cashflow_FY!F13-J12-K12-L12</f>
        <v>-0.63</v>
      </c>
      <c r="N12" s="13">
        <v>-0.09</v>
      </c>
      <c r="O12" s="3">
        <f t="shared" si="0"/>
        <v>-0.85714285714285721</v>
      </c>
      <c r="P12" s="3">
        <f t="shared" si="1"/>
        <v>-0.83333333333333337</v>
      </c>
    </row>
    <row r="13" spans="1:18" s="4" customFormat="1" ht="15.6" x14ac:dyDescent="0.3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1.91</v>
      </c>
      <c r="F13" s="4">
        <v>3.6861100000000002</v>
      </c>
      <c r="G13" s="4">
        <v>2.73</v>
      </c>
      <c r="H13" s="4">
        <v>-0.36</v>
      </c>
      <c r="I13" s="4">
        <v>2.4138900000000003</v>
      </c>
      <c r="J13" s="4">
        <v>-0.2</v>
      </c>
      <c r="K13" s="4">
        <v>-0.22999999999999998</v>
      </c>
      <c r="L13" s="4">
        <f>1.5-J13-K13</f>
        <v>1.93</v>
      </c>
      <c r="M13" s="71">
        <f>Cashflow_FY!F14-J13-K13-L13</f>
        <v>9.24</v>
      </c>
      <c r="N13" s="7">
        <v>1.0409999999999999</v>
      </c>
      <c r="O13" s="5">
        <f t="shared" si="0"/>
        <v>-0.88733766233766231</v>
      </c>
      <c r="P13" s="5">
        <f t="shared" si="1"/>
        <v>-6.2049999999999992</v>
      </c>
      <c r="R13" s="10"/>
    </row>
    <row r="14" spans="1:18" s="11" customFormat="1" ht="15.6" x14ac:dyDescent="0.3">
      <c r="A14" s="11" t="s">
        <v>61</v>
      </c>
      <c r="O14" s="12"/>
      <c r="P14" s="12"/>
    </row>
    <row r="15" spans="1:18" x14ac:dyDescent="0.25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1.72</v>
      </c>
      <c r="F15" s="10">
        <v>0</v>
      </c>
      <c r="G15" s="10">
        <v>0.02</v>
      </c>
      <c r="H15" s="10">
        <v>0.43</v>
      </c>
      <c r="I15" s="10">
        <v>1.7500000000000002</v>
      </c>
      <c r="J15" s="10">
        <v>1.42</v>
      </c>
      <c r="K15" s="10">
        <v>2.23</v>
      </c>
      <c r="L15" s="10">
        <f>5.3-K15-J15</f>
        <v>1.65</v>
      </c>
      <c r="M15" s="10">
        <f>Cashflow_FY!F16-J15-K15-L15</f>
        <v>1.5300000000000002</v>
      </c>
      <c r="N15" s="13">
        <v>1.9</v>
      </c>
      <c r="O15" s="3">
        <f t="shared" ref="O15:O19" si="2">N15/M15-1</f>
        <v>0.24183006535947693</v>
      </c>
      <c r="P15" s="3">
        <f t="shared" ref="P15:P19" si="3">N15/J15-1</f>
        <v>0.3380281690140845</v>
      </c>
    </row>
    <row r="16" spans="1:18" x14ac:dyDescent="0.25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1.72</v>
      </c>
      <c r="F16" s="10">
        <v>0</v>
      </c>
      <c r="G16" s="10">
        <v>0.02</v>
      </c>
      <c r="H16" s="10">
        <v>0.02</v>
      </c>
      <c r="I16" s="10">
        <v>1.29</v>
      </c>
      <c r="J16" s="10">
        <v>1.42</v>
      </c>
      <c r="K16" s="10">
        <v>2.2200000000000002</v>
      </c>
      <c r="L16" s="10">
        <f>4.93-K16-J16</f>
        <v>1.2899999999999996</v>
      </c>
      <c r="M16" s="10">
        <f>Cashflow_FY!F17-J16-K16-L16</f>
        <v>1.2800000000000002</v>
      </c>
      <c r="N16" s="13">
        <v>1.9</v>
      </c>
      <c r="O16" s="3">
        <f t="shared" si="2"/>
        <v>0.48437499999999956</v>
      </c>
      <c r="P16" s="3">
        <f t="shared" si="3"/>
        <v>0.3380281690140845</v>
      </c>
    </row>
    <row r="17" spans="1:18" x14ac:dyDescent="0.25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3.6339999999999999</v>
      </c>
      <c r="F17" s="10">
        <v>0.40576000000000001</v>
      </c>
      <c r="G17" s="10">
        <v>1.53</v>
      </c>
      <c r="H17" s="10">
        <v>3.16</v>
      </c>
      <c r="I17" s="10">
        <v>5.604239999999999</v>
      </c>
      <c r="J17" s="10">
        <v>3.5</v>
      </c>
      <c r="K17" s="10">
        <v>4.43</v>
      </c>
      <c r="L17" s="10">
        <f>10.67-K17-J17</f>
        <v>2.74</v>
      </c>
      <c r="M17" s="10">
        <f>Cashflow_FY!F18-J17-K17-L17</f>
        <v>5.0400000000000009</v>
      </c>
      <c r="N17" s="13">
        <v>1.92</v>
      </c>
      <c r="O17" s="3">
        <f t="shared" si="2"/>
        <v>-0.61904761904761907</v>
      </c>
      <c r="P17" s="3">
        <f t="shared" si="3"/>
        <v>-0.4514285714285714</v>
      </c>
    </row>
    <row r="18" spans="1:18" x14ac:dyDescent="0.25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3.6339999999999999</v>
      </c>
      <c r="F18" s="10">
        <v>0.40576000000000001</v>
      </c>
      <c r="G18" s="10">
        <v>1.53</v>
      </c>
      <c r="H18" s="10">
        <v>3.16</v>
      </c>
      <c r="I18" s="10">
        <v>5.604239999999999</v>
      </c>
      <c r="J18" s="10">
        <v>3.5</v>
      </c>
      <c r="K18" s="10">
        <v>4.43</v>
      </c>
      <c r="L18" s="10">
        <f>10.59-J18-K18</f>
        <v>2.66</v>
      </c>
      <c r="M18" s="10">
        <f>Cashflow_FY!F19-J18-K18-L18</f>
        <v>5.120000000000001</v>
      </c>
      <c r="N18" s="13">
        <v>1.92</v>
      </c>
      <c r="O18" s="3">
        <f t="shared" si="2"/>
        <v>-0.62500000000000011</v>
      </c>
      <c r="P18" s="3">
        <f t="shared" si="3"/>
        <v>-0.4514285714285714</v>
      </c>
    </row>
    <row r="19" spans="1:18" s="4" customFormat="1" ht="15.6" x14ac:dyDescent="0.3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-1.915</v>
      </c>
      <c r="F19" s="4">
        <v>-0.40576000000000001</v>
      </c>
      <c r="G19" s="4">
        <v>-1.51</v>
      </c>
      <c r="H19" s="4">
        <v>-2.73</v>
      </c>
      <c r="I19" s="4">
        <v>-3.8542399999999994</v>
      </c>
      <c r="J19" s="4">
        <v>-2.08</v>
      </c>
      <c r="K19" s="4">
        <v>-2.2000000000000002</v>
      </c>
      <c r="L19" s="4">
        <f>-5.37-K19-J19</f>
        <v>-1.0899999999999999</v>
      </c>
      <c r="M19" s="4">
        <f>Cashflow_FY!F20-J19-K19-L19</f>
        <v>-3.5100000000000007</v>
      </c>
      <c r="N19" s="7">
        <v>-0.02</v>
      </c>
      <c r="O19" s="5">
        <f t="shared" si="2"/>
        <v>-0.99430199430199429</v>
      </c>
      <c r="P19" s="5">
        <f t="shared" si="3"/>
        <v>-0.99038461538461542</v>
      </c>
      <c r="R19" s="10"/>
    </row>
    <row r="20" spans="1:18" s="11" customFormat="1" ht="15.6" x14ac:dyDescent="0.3">
      <c r="A20" s="11" t="s">
        <v>66</v>
      </c>
      <c r="O20" s="12"/>
      <c r="P20" s="12"/>
    </row>
    <row r="21" spans="1:18" x14ac:dyDescent="0.25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0.316</v>
      </c>
      <c r="F21" s="10">
        <v>0.38113999999999998</v>
      </c>
      <c r="G21" s="10">
        <v>1.76</v>
      </c>
      <c r="H21" s="10">
        <v>4.93</v>
      </c>
      <c r="I21" s="10">
        <v>-1.1711399999999994</v>
      </c>
      <c r="J21" s="10">
        <v>2.96</v>
      </c>
      <c r="K21" s="10">
        <v>4.93</v>
      </c>
      <c r="L21" s="10">
        <f>12.11-K21-J21</f>
        <v>4.22</v>
      </c>
      <c r="M21" s="10">
        <f>Cashflow_FY!F22-J21-K21-L21</f>
        <v>0.28000000000000025</v>
      </c>
      <c r="N21" s="13">
        <v>7.29</v>
      </c>
      <c r="O21" s="3">
        <f t="shared" ref="O21:O23" si="4">N21/M21-1</f>
        <v>25.035714285714263</v>
      </c>
      <c r="P21" s="3">
        <f t="shared" ref="P21:P23" si="5">N21/J21-1</f>
        <v>1.4628378378378377</v>
      </c>
    </row>
    <row r="22" spans="1:18" x14ac:dyDescent="0.25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0</v>
      </c>
      <c r="F22" s="10">
        <v>3.7493599999999998</v>
      </c>
      <c r="G22" s="10">
        <v>1.48</v>
      </c>
      <c r="H22" s="10">
        <v>-1.01</v>
      </c>
      <c r="I22" s="10">
        <v>1.0640000000000649E-2</v>
      </c>
      <c r="J22" s="10">
        <v>1.83</v>
      </c>
      <c r="K22" s="10">
        <v>3.2699999999999996</v>
      </c>
      <c r="L22" s="10">
        <f>9.4-K22-J22</f>
        <v>4.3000000000000007</v>
      </c>
      <c r="M22" s="10">
        <f>Cashflow_FY!F23-J22-K22-L22</f>
        <v>2.2199999999999989</v>
      </c>
      <c r="N22" s="13">
        <v>6.48</v>
      </c>
      <c r="O22" s="3">
        <f t="shared" si="4"/>
        <v>1.9189189189189206</v>
      </c>
      <c r="P22" s="3">
        <f t="shared" si="5"/>
        <v>2.540983606557377</v>
      </c>
    </row>
    <row r="23" spans="1:18" s="4" customFormat="1" ht="15.6" x14ac:dyDescent="0.3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0.316</v>
      </c>
      <c r="F23" s="4">
        <v>-3.36822</v>
      </c>
      <c r="G23" s="4">
        <v>0.26</v>
      </c>
      <c r="H23" s="4">
        <v>3.92</v>
      </c>
      <c r="I23" s="4">
        <v>0.8582200000000002</v>
      </c>
      <c r="J23" s="4">
        <v>1.1299999999999999</v>
      </c>
      <c r="K23" s="4">
        <v>1.6600000000000001</v>
      </c>
      <c r="L23" s="4">
        <f>2.71-K23-J23</f>
        <v>-8.0000000000000071E-2</v>
      </c>
      <c r="M23" s="71">
        <f>Cashflow_FY!F27-J23-K23-L23</f>
        <v>-1.94</v>
      </c>
      <c r="N23" s="7">
        <f>N21-N22</f>
        <v>0.80999999999999961</v>
      </c>
      <c r="O23" s="5">
        <f t="shared" si="4"/>
        <v>-1.4175257731958761</v>
      </c>
      <c r="P23" s="5">
        <f t="shared" si="5"/>
        <v>-0.28318584070796493</v>
      </c>
      <c r="R23" s="10"/>
    </row>
    <row r="24" spans="1:18" s="11" customFormat="1" ht="15.6" x14ac:dyDescent="0.3">
      <c r="A24" s="11" t="s">
        <v>120</v>
      </c>
      <c r="O24" s="12"/>
      <c r="P24" s="12"/>
    </row>
    <row r="25" spans="1:18" x14ac:dyDescent="0.25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0.311</v>
      </c>
      <c r="F25" s="10">
        <v>-8.7870000000000004E-2</v>
      </c>
      <c r="G25" s="10">
        <v>1.48</v>
      </c>
      <c r="H25" s="10">
        <v>0.83</v>
      </c>
      <c r="I25" s="10">
        <v>-0.58213000000000015</v>
      </c>
      <c r="J25" s="10">
        <v>-1.1399999999999999</v>
      </c>
      <c r="K25" s="10">
        <v>-0.78</v>
      </c>
      <c r="L25" s="10">
        <f>-1.16-K25-J25</f>
        <v>0.76</v>
      </c>
      <c r="M25" s="10">
        <f>Cashflow_FY!F29-J25-K25-L25</f>
        <v>3.8000000000000007</v>
      </c>
      <c r="N25" s="41">
        <v>1.83</v>
      </c>
      <c r="O25" s="3">
        <f t="shared" ref="O25:O27" si="6">N25/M25-1</f>
        <v>-0.518421052631579</v>
      </c>
      <c r="P25" s="3">
        <f t="shared" ref="P25:P27" si="7">N25/J25-1</f>
        <v>-2.6052631578947372</v>
      </c>
    </row>
    <row r="26" spans="1:18" x14ac:dyDescent="0.25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0.79200000000000004</v>
      </c>
      <c r="F26" s="10">
        <v>0.98677000000000004</v>
      </c>
      <c r="G26" s="10">
        <v>0.9</v>
      </c>
      <c r="H26" s="10">
        <v>2.38</v>
      </c>
      <c r="I26" s="10">
        <v>3.214</v>
      </c>
      <c r="J26" s="10">
        <v>2.62</v>
      </c>
      <c r="K26" s="10">
        <v>1.48</v>
      </c>
      <c r="L26" s="10">
        <v>0.7</v>
      </c>
      <c r="M26" s="10">
        <f>Cashflow_FY!F30-J26-K26-L26</f>
        <v>-2.1799999999999997</v>
      </c>
      <c r="N26" s="41">
        <v>5.26</v>
      </c>
      <c r="O26" s="3">
        <f t="shared" si="6"/>
        <v>-3.4128440366972481</v>
      </c>
      <c r="P26" s="3">
        <f t="shared" si="7"/>
        <v>1.0076335877862594</v>
      </c>
    </row>
    <row r="27" spans="1:18" x14ac:dyDescent="0.25">
      <c r="A27" s="10" t="s">
        <v>70</v>
      </c>
      <c r="B27" s="10">
        <v>1.20242</v>
      </c>
      <c r="C27" s="10">
        <v>1.26284</v>
      </c>
      <c r="D27" s="10">
        <v>-0.47047</v>
      </c>
      <c r="E27" s="10">
        <v>0.98699999999999999</v>
      </c>
      <c r="F27" s="10">
        <v>0.89890000000000003</v>
      </c>
      <c r="G27" s="10">
        <v>2.38</v>
      </c>
      <c r="H27" s="10">
        <v>3.21</v>
      </c>
      <c r="I27" s="10">
        <v>2.62</v>
      </c>
      <c r="J27" s="10">
        <v>1.48</v>
      </c>
      <c r="K27" s="10">
        <v>0.7</v>
      </c>
      <c r="L27" s="10">
        <v>1.46</v>
      </c>
      <c r="M27" s="10">
        <f>Cashflow_FY!F31-J27-K27-L27</f>
        <v>1.62</v>
      </c>
      <c r="N27" s="41">
        <v>7.0860000000000003</v>
      </c>
      <c r="O27" s="3">
        <f t="shared" si="6"/>
        <v>3.3740740740740742</v>
      </c>
      <c r="P27" s="3">
        <f t="shared" si="7"/>
        <v>3.7878378378378379</v>
      </c>
    </row>
    <row r="28" spans="1:18" x14ac:dyDescent="0.25">
      <c r="O28" s="10"/>
      <c r="P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zoomScaleNormal="100" workbookViewId="0">
      <pane xSplit="1" ySplit="1" topLeftCell="F14" activePane="bottomRight" state="frozenSplit"/>
      <selection pane="topRight" activeCell="B1" sqref="B1"/>
      <selection pane="bottomLeft" activeCell="A2" sqref="A2"/>
      <selection pane="bottomRight" activeCell="F22" sqref="F22"/>
    </sheetView>
  </sheetViews>
  <sheetFormatPr defaultColWidth="10.54296875" defaultRowHeight="15" x14ac:dyDescent="0.25"/>
  <cols>
    <col min="1" max="1" width="62.453125" style="10" bestFit="1" customWidth="1"/>
    <col min="2" max="5" width="10.54296875" style="10"/>
    <col min="6" max="6" width="10.54296875" style="41"/>
    <col min="7" max="7" width="10.54296875" style="10"/>
    <col min="8" max="8" width="10.54296875" style="3"/>
    <col min="9" max="16384" width="10.54296875" style="10"/>
  </cols>
  <sheetData>
    <row r="1" spans="1:8" s="4" customFormat="1" ht="15.6" x14ac:dyDescent="0.3">
      <c r="A1" s="6" t="s">
        <v>119</v>
      </c>
      <c r="B1" s="36">
        <v>2014</v>
      </c>
      <c r="C1" s="36">
        <v>2015</v>
      </c>
      <c r="D1" s="36">
        <v>2016</v>
      </c>
      <c r="E1" s="36">
        <v>2017</v>
      </c>
      <c r="F1" s="70">
        <v>2018</v>
      </c>
      <c r="H1" s="5" t="s">
        <v>77</v>
      </c>
    </row>
    <row r="2" spans="1:8" s="11" customFormat="1" ht="15.6" x14ac:dyDescent="0.3">
      <c r="A2" s="11" t="s">
        <v>50</v>
      </c>
      <c r="F2" s="60"/>
      <c r="H2" s="12"/>
    </row>
    <row r="3" spans="1:8" x14ac:dyDescent="0.25">
      <c r="A3" s="10" t="s">
        <v>20</v>
      </c>
      <c r="B3" s="35">
        <v>3.282</v>
      </c>
      <c r="C3" s="35">
        <v>4.1429999999999998</v>
      </c>
      <c r="D3" s="35">
        <v>3.9609999999999999</v>
      </c>
      <c r="E3" s="35">
        <v>8.67</v>
      </c>
      <c r="F3" s="41">
        <v>5.04</v>
      </c>
      <c r="H3" s="3">
        <f>F3/E3-1</f>
        <v>-0.41868512110726641</v>
      </c>
    </row>
    <row r="4" spans="1:8" x14ac:dyDescent="0.25">
      <c r="A4" s="10" t="s">
        <v>51</v>
      </c>
      <c r="B4" s="35">
        <v>-1.194</v>
      </c>
      <c r="C4" s="35">
        <v>1.2170000000000001</v>
      </c>
      <c r="D4" s="35">
        <v>2.371</v>
      </c>
      <c r="E4" s="35">
        <v>-0.2</v>
      </c>
      <c r="F4" s="41">
        <v>5.7</v>
      </c>
      <c r="H4" s="3">
        <f t="shared" ref="H4:H14" si="0">F4/E4-1</f>
        <v>-29.5</v>
      </c>
    </row>
    <row r="5" spans="1:8" x14ac:dyDescent="0.25">
      <c r="A5" s="10" t="s">
        <v>52</v>
      </c>
      <c r="B5" s="35">
        <v>3.3780000000000001</v>
      </c>
      <c r="C5" s="35">
        <v>3.6070000000000002</v>
      </c>
      <c r="D5" s="35">
        <v>4.4530000000000003</v>
      </c>
      <c r="E5" s="35">
        <v>5.03</v>
      </c>
      <c r="F5" s="41">
        <v>6.84</v>
      </c>
      <c r="H5" s="3">
        <f t="shared" si="0"/>
        <v>0.3598409542743537</v>
      </c>
    </row>
    <row r="6" spans="1:8" x14ac:dyDescent="0.25">
      <c r="A6" s="10" t="s">
        <v>53</v>
      </c>
      <c r="B6" s="35">
        <v>-4.3999999999999997E-2</v>
      </c>
      <c r="C6" s="35">
        <v>8.9999999999999993E-3</v>
      </c>
      <c r="D6" s="35">
        <v>1.202</v>
      </c>
      <c r="E6" s="35">
        <v>-1.32</v>
      </c>
      <c r="F6" s="41">
        <v>-0.02</v>
      </c>
      <c r="H6" s="3">
        <f t="shared" si="0"/>
        <v>-0.98484848484848486</v>
      </c>
    </row>
    <row r="7" spans="1:8" x14ac:dyDescent="0.25">
      <c r="A7" s="10" t="s">
        <v>54</v>
      </c>
      <c r="B7" s="35">
        <v>0.66500000000000004</v>
      </c>
      <c r="C7" s="35">
        <v>0.61</v>
      </c>
      <c r="D7" s="35">
        <v>0.61899999999999999</v>
      </c>
      <c r="E7" s="35">
        <v>0.73</v>
      </c>
      <c r="F7" s="41">
        <v>1.1499999999999999</v>
      </c>
      <c r="H7" s="3">
        <f t="shared" si="0"/>
        <v>0.57534246575342451</v>
      </c>
    </row>
    <row r="8" spans="1:8" x14ac:dyDescent="0.25">
      <c r="A8" s="10" t="s">
        <v>111</v>
      </c>
      <c r="B8" s="35">
        <v>0.10100000000000001</v>
      </c>
      <c r="C8" s="35">
        <v>-0.111</v>
      </c>
      <c r="D8" s="35">
        <v>-4.5999999999999999E-2</v>
      </c>
      <c r="E8" s="35">
        <v>-0.04</v>
      </c>
      <c r="F8" s="41">
        <v>-0.2</v>
      </c>
      <c r="H8" s="3">
        <f t="shared" si="0"/>
        <v>4</v>
      </c>
    </row>
    <row r="9" spans="1:8" x14ac:dyDescent="0.25">
      <c r="A9" s="10" t="s">
        <v>55</v>
      </c>
      <c r="B9" s="35">
        <v>-0.71599999999999997</v>
      </c>
      <c r="C9" s="35">
        <v>-0.26200000000000001</v>
      </c>
      <c r="D9" s="35">
        <v>0.36799999999999999</v>
      </c>
      <c r="E9" s="35">
        <v>3.36</v>
      </c>
      <c r="F9" s="41">
        <v>0.35</v>
      </c>
      <c r="H9" s="3">
        <f t="shared" si="0"/>
        <v>-0.89583333333333337</v>
      </c>
    </row>
    <row r="10" spans="1:8" x14ac:dyDescent="0.25">
      <c r="A10" s="10" t="s">
        <v>56</v>
      </c>
      <c r="B10" s="35">
        <v>-1.0269999999999999</v>
      </c>
      <c r="C10" s="35">
        <v>3.8330000000000002</v>
      </c>
      <c r="D10" s="35">
        <v>-5.3</v>
      </c>
      <c r="E10" s="35">
        <v>-2.76</v>
      </c>
      <c r="F10" s="41">
        <v>-3.54</v>
      </c>
      <c r="H10" s="3">
        <f t="shared" si="0"/>
        <v>0.28260869565217406</v>
      </c>
    </row>
    <row r="11" spans="1:8" s="1" customFormat="1" x14ac:dyDescent="0.25">
      <c r="A11" s="1" t="s">
        <v>57</v>
      </c>
      <c r="B11" s="32">
        <v>-2.661</v>
      </c>
      <c r="C11" s="32">
        <v>-1.4490000000000001</v>
      </c>
      <c r="D11" s="32">
        <v>-2.0350000000000001</v>
      </c>
      <c r="E11" s="32">
        <v>-4.2699999999999996</v>
      </c>
      <c r="F11" s="41">
        <v>-6.95</v>
      </c>
      <c r="H11" s="3">
        <f t="shared" si="0"/>
        <v>0.62763466042154592</v>
      </c>
    </row>
    <row r="12" spans="1:8" s="1" customFormat="1" x14ac:dyDescent="0.25">
      <c r="A12" s="1" t="s">
        <v>58</v>
      </c>
      <c r="B12" s="32">
        <v>-0.78900000000000003</v>
      </c>
      <c r="C12" s="32">
        <v>-3.234</v>
      </c>
      <c r="D12" s="32">
        <v>4.734</v>
      </c>
      <c r="E12" s="32">
        <v>1.5</v>
      </c>
      <c r="F12" s="41">
        <v>10</v>
      </c>
      <c r="H12" s="3">
        <f t="shared" si="0"/>
        <v>5.666666666666667</v>
      </c>
    </row>
    <row r="13" spans="1:8" x14ac:dyDescent="0.25">
      <c r="A13" s="10" t="s">
        <v>59</v>
      </c>
      <c r="B13" s="35">
        <v>0</v>
      </c>
      <c r="C13" s="35">
        <v>-1.724</v>
      </c>
      <c r="D13" s="35">
        <v>-1.554</v>
      </c>
      <c r="E13" s="35">
        <v>-2.35</v>
      </c>
      <c r="F13" s="41">
        <v>-1.55</v>
      </c>
      <c r="H13" s="3">
        <f t="shared" si="0"/>
        <v>-0.34042553191489366</v>
      </c>
    </row>
    <row r="14" spans="1:8" s="4" customFormat="1" ht="15.6" x14ac:dyDescent="0.3">
      <c r="A14" s="4" t="s">
        <v>60</v>
      </c>
      <c r="B14" s="31">
        <v>2.0880000000000001</v>
      </c>
      <c r="C14" s="31">
        <v>5.36</v>
      </c>
      <c r="D14" s="31">
        <v>6.3310000000000004</v>
      </c>
      <c r="E14" s="31">
        <v>8.4700000000000006</v>
      </c>
      <c r="F14" s="61">
        <v>10.74</v>
      </c>
      <c r="H14" s="5">
        <f t="shared" si="0"/>
        <v>0.26800472255017693</v>
      </c>
    </row>
    <row r="15" spans="1:8" s="11" customFormat="1" ht="15.6" x14ac:dyDescent="0.3">
      <c r="A15" s="11" t="s">
        <v>61</v>
      </c>
      <c r="F15" s="60"/>
      <c r="H15" s="12"/>
    </row>
    <row r="16" spans="1:8" s="1" customFormat="1" x14ac:dyDescent="0.25">
      <c r="A16" s="1" t="s">
        <v>62</v>
      </c>
      <c r="B16" s="32">
        <v>1.056</v>
      </c>
      <c r="C16" s="32">
        <v>9.8000000000000004E-2</v>
      </c>
      <c r="D16" s="32">
        <v>1.7210000000000001</v>
      </c>
      <c r="E16" s="32">
        <v>2.2000000000000002</v>
      </c>
      <c r="F16" s="41">
        <v>6.83</v>
      </c>
      <c r="H16" s="3">
        <f>F16/E16-1</f>
        <v>2.1045454545454545</v>
      </c>
    </row>
    <row r="17" spans="1:8" s="1" customFormat="1" x14ac:dyDescent="0.25">
      <c r="A17" s="1" t="s">
        <v>71</v>
      </c>
      <c r="B17" s="32">
        <v>1.0529999999999999</v>
      </c>
      <c r="C17" s="32">
        <v>9.8000000000000004E-2</v>
      </c>
      <c r="D17" s="32">
        <v>1.7210000000000001</v>
      </c>
      <c r="E17" s="32">
        <v>1.33</v>
      </c>
      <c r="F17" s="41">
        <v>6.21</v>
      </c>
      <c r="H17" s="3">
        <f>F17/E17-1</f>
        <v>3.6691729323308264</v>
      </c>
    </row>
    <row r="18" spans="1:8" x14ac:dyDescent="0.25">
      <c r="A18" s="10" t="s">
        <v>63</v>
      </c>
      <c r="B18" s="35">
        <v>3.0760000000000001</v>
      </c>
      <c r="C18" s="35">
        <v>10.537000000000001</v>
      </c>
      <c r="D18" s="35">
        <v>7.585</v>
      </c>
      <c r="E18" s="35">
        <v>10.7</v>
      </c>
      <c r="F18" s="41">
        <v>15.71</v>
      </c>
      <c r="H18" s="3">
        <f>F18/E18-1</f>
        <v>0.46822429906542085</v>
      </c>
    </row>
    <row r="19" spans="1:8" x14ac:dyDescent="0.25">
      <c r="A19" s="10" t="s">
        <v>64</v>
      </c>
      <c r="B19" s="35">
        <v>3.0760000000000001</v>
      </c>
      <c r="C19" s="35">
        <v>10.537000000000001</v>
      </c>
      <c r="D19" s="35">
        <v>7.585</v>
      </c>
      <c r="E19" s="35">
        <v>10.7</v>
      </c>
      <c r="F19" s="41">
        <v>15.71</v>
      </c>
      <c r="H19" s="3">
        <f>F19/E19-1</f>
        <v>0.46822429906542085</v>
      </c>
    </row>
    <row r="20" spans="1:8" s="4" customFormat="1" ht="15.6" x14ac:dyDescent="0.3">
      <c r="A20" s="4" t="s">
        <v>65</v>
      </c>
      <c r="B20" s="31">
        <v>-2.02</v>
      </c>
      <c r="C20" s="31">
        <v>-10.439</v>
      </c>
      <c r="D20" s="31">
        <v>-5.8639999999999999</v>
      </c>
      <c r="E20" s="31">
        <v>-8.5</v>
      </c>
      <c r="F20" s="61">
        <v>-8.8800000000000008</v>
      </c>
      <c r="H20" s="5">
        <f>F20/E20-1</f>
        <v>4.4705882352941373E-2</v>
      </c>
    </row>
    <row r="21" spans="1:8" s="11" customFormat="1" ht="15.6" x14ac:dyDescent="0.3">
      <c r="A21" s="11" t="s">
        <v>66</v>
      </c>
      <c r="F21" s="60"/>
      <c r="H21" s="12"/>
    </row>
    <row r="22" spans="1:8" x14ac:dyDescent="0.25">
      <c r="A22" s="10" t="s">
        <v>62</v>
      </c>
      <c r="B22" s="35">
        <v>1.472</v>
      </c>
      <c r="C22" s="35">
        <v>7.9329999999999998</v>
      </c>
      <c r="D22" s="35">
        <v>3.5779999999999998</v>
      </c>
      <c r="E22" s="35">
        <v>5.9</v>
      </c>
      <c r="F22" s="41">
        <f>[1]Cashflow_Q!J21+[1]Cashflow_Q!K21+[1]Cashflow_Q!L21+[1]Cashflow_Q!M21</f>
        <v>12.389999999999999</v>
      </c>
      <c r="H22" s="3">
        <f t="shared" ref="H22:H27" si="1">F22/E22-1</f>
        <v>1.0999999999999996</v>
      </c>
    </row>
    <row r="23" spans="1:8" x14ac:dyDescent="0.25">
      <c r="A23" s="10" t="s">
        <v>63</v>
      </c>
      <c r="B23" s="35">
        <v>3.6419999999999999</v>
      </c>
      <c r="C23" s="35">
        <v>3.6709999999999998</v>
      </c>
      <c r="D23" s="35">
        <v>3.9239999999999999</v>
      </c>
      <c r="E23" s="35">
        <v>4.2300000000000004</v>
      </c>
      <c r="F23" s="41">
        <v>11.62</v>
      </c>
      <c r="H23" s="3">
        <f t="shared" si="1"/>
        <v>1.747044917257683</v>
      </c>
    </row>
    <row r="24" spans="1:8" x14ac:dyDescent="0.25">
      <c r="A24" s="10" t="s">
        <v>112</v>
      </c>
      <c r="B24" s="35">
        <v>2.2890000000000001</v>
      </c>
      <c r="C24" s="35">
        <v>1.669</v>
      </c>
      <c r="D24" s="35">
        <v>1.87</v>
      </c>
      <c r="E24" s="35">
        <v>0.32</v>
      </c>
      <c r="F24" s="41">
        <v>6.11</v>
      </c>
      <c r="H24" s="3">
        <f t="shared" si="1"/>
        <v>18.09375</v>
      </c>
    </row>
    <row r="25" spans="1:8" x14ac:dyDescent="0.25">
      <c r="A25" s="10" t="s">
        <v>113</v>
      </c>
      <c r="B25" s="35">
        <v>0.68</v>
      </c>
      <c r="C25" s="35">
        <v>1.37</v>
      </c>
      <c r="D25" s="35">
        <v>1.397</v>
      </c>
      <c r="E25" s="35">
        <v>2.17</v>
      </c>
      <c r="F25" s="41">
        <v>3.13</v>
      </c>
      <c r="H25" s="3">
        <f t="shared" si="1"/>
        <v>0.44239631336405538</v>
      </c>
    </row>
    <row r="26" spans="1:8" x14ac:dyDescent="0.25">
      <c r="A26" s="10" t="s">
        <v>114</v>
      </c>
      <c r="B26" s="35">
        <v>0.67400000000000004</v>
      </c>
      <c r="C26" s="35">
        <v>0.63100000000000001</v>
      </c>
      <c r="D26" s="35">
        <v>0.65600000000000003</v>
      </c>
      <c r="E26" s="35">
        <v>0.73</v>
      </c>
      <c r="F26" s="41">
        <v>1.1599999999999999</v>
      </c>
      <c r="H26" s="3">
        <f t="shared" si="1"/>
        <v>0.58904109589041087</v>
      </c>
    </row>
    <row r="27" spans="1:8" s="4" customFormat="1" ht="15.6" x14ac:dyDescent="0.3">
      <c r="A27" s="4" t="s">
        <v>67</v>
      </c>
      <c r="B27" s="31">
        <v>-2.17</v>
      </c>
      <c r="C27" s="31">
        <v>4.2629999999999999</v>
      </c>
      <c r="D27" s="31">
        <v>-0.34599999999999997</v>
      </c>
      <c r="E27" s="31">
        <v>1.67</v>
      </c>
      <c r="F27" s="61">
        <v>0.77</v>
      </c>
      <c r="H27" s="5">
        <f t="shared" si="1"/>
        <v>-0.53892215568862278</v>
      </c>
    </row>
    <row r="28" spans="1:8" s="11" customFormat="1" ht="15.6" x14ac:dyDescent="0.3">
      <c r="A28" s="11" t="s">
        <v>120</v>
      </c>
      <c r="F28" s="60"/>
      <c r="H28" s="12"/>
    </row>
    <row r="29" spans="1:8" x14ac:dyDescent="0.25">
      <c r="A29" s="10" t="s">
        <v>68</v>
      </c>
      <c r="B29" s="35">
        <v>-2.1030000000000002</v>
      </c>
      <c r="C29" s="35">
        <v>-0.81599999999999995</v>
      </c>
      <c r="D29" s="35">
        <v>0.122</v>
      </c>
      <c r="E29" s="35">
        <v>1.64</v>
      </c>
      <c r="F29" s="41">
        <v>2.64</v>
      </c>
      <c r="H29" s="3">
        <f>F29/E29-1</f>
        <v>0.60975609756097571</v>
      </c>
    </row>
    <row r="30" spans="1:8" x14ac:dyDescent="0.25">
      <c r="A30" s="10" t="s">
        <v>69</v>
      </c>
      <c r="B30" s="35">
        <v>3.7850000000000001</v>
      </c>
      <c r="C30" s="35">
        <v>1.6819999999999999</v>
      </c>
      <c r="D30" s="35">
        <v>0.86499999999999999</v>
      </c>
      <c r="E30" s="35">
        <v>0.98</v>
      </c>
      <c r="F30" s="41">
        <v>2.62</v>
      </c>
      <c r="H30" s="3">
        <f>F30/E30-1</f>
        <v>1.6734693877551021</v>
      </c>
    </row>
    <row r="31" spans="1:8" x14ac:dyDescent="0.25">
      <c r="A31" s="10" t="s">
        <v>70</v>
      </c>
      <c r="B31" s="35">
        <v>1.6819999999999999</v>
      </c>
      <c r="C31" s="35">
        <v>0.86499999999999999</v>
      </c>
      <c r="D31" s="35">
        <v>0.98699999999999999</v>
      </c>
      <c r="E31" s="35">
        <v>2.62</v>
      </c>
      <c r="F31" s="41">
        <v>5.26</v>
      </c>
      <c r="H31" s="3">
        <f>F31/E31-1</f>
        <v>1.0076335877862594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"/>
  <sheetViews>
    <sheetView zoomScaleNormal="100" workbookViewId="0">
      <pane xSplit="1" ySplit="1" topLeftCell="I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36.26953125" style="1" customWidth="1"/>
    <col min="2" max="13" width="10.54296875" style="1" customWidth="1"/>
    <col min="14" max="14" width="10.54296875" style="8"/>
    <col min="15" max="16" width="10.54296875" style="3"/>
    <col min="17" max="17" width="10.54296875" style="1"/>
    <col min="18" max="18" width="0" style="1" hidden="1" customWidth="1"/>
    <col min="19" max="19" width="10.54296875" style="8" hidden="1" customWidth="1"/>
    <col min="20" max="22" width="0" style="1" hidden="1" customWidth="1"/>
    <col min="23" max="23" width="10.54296875" style="1" hidden="1" customWidth="1"/>
    <col min="24" max="24" width="10.54296875" style="8" hidden="1" customWidth="1"/>
    <col min="25" max="26" width="10.54296875" style="1" hidden="1" customWidth="1"/>
    <col min="27" max="16384" width="10.54296875" style="1"/>
  </cols>
  <sheetData>
    <row r="1" spans="1:26" s="4" customFormat="1" ht="15.6" x14ac:dyDescent="0.3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4" t="s">
        <v>165</v>
      </c>
      <c r="N1" s="7" t="s">
        <v>169</v>
      </c>
      <c r="O1" s="5" t="s">
        <v>78</v>
      </c>
      <c r="P1" s="5" t="s">
        <v>77</v>
      </c>
      <c r="R1" s="4" t="s">
        <v>152</v>
      </c>
      <c r="S1" s="7" t="s">
        <v>161</v>
      </c>
      <c r="U1" s="4" t="s">
        <v>77</v>
      </c>
      <c r="W1" s="31" t="s">
        <v>168</v>
      </c>
      <c r="X1" s="7" t="s">
        <v>166</v>
      </c>
      <c r="Z1" s="4" t="s">
        <v>77</v>
      </c>
    </row>
    <row r="2" spans="1:26" x14ac:dyDescent="0.25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26">
        <v>0</v>
      </c>
      <c r="O2" s="3">
        <f>N2/M2-1</f>
        <v>-1</v>
      </c>
      <c r="P2" s="14">
        <f>N2/J2-1</f>
        <v>-1</v>
      </c>
      <c r="Q2" s="14"/>
      <c r="R2" s="1">
        <f t="shared" ref="R2:R7" si="0">SUM(F2:G2)</f>
        <v>0.57580000000000009</v>
      </c>
      <c r="S2" s="26">
        <f t="shared" ref="S2:S7" si="1">SUM(J2:L2)</f>
        <v>0.78600000000000003</v>
      </c>
      <c r="T2" s="3"/>
      <c r="U2" s="3">
        <f t="shared" ref="U2:U7" si="2">S2/R2-1</f>
        <v>0.36505731156651589</v>
      </c>
      <c r="W2" s="32">
        <f t="shared" ref="W2:W7" si="3">SUM(F2:I2)</f>
        <v>2.2575000000000003</v>
      </c>
      <c r="X2" s="8">
        <f t="shared" ref="X2:X7" si="4">SUM(J2:M2)</f>
        <v>0.86599999999999999</v>
      </c>
      <c r="Z2" s="3">
        <f t="shared" ref="Z2:Z7" si="5">X2/W2-1</f>
        <v>-0.61638981173864904</v>
      </c>
    </row>
    <row r="3" spans="1:26" x14ac:dyDescent="0.25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26">
        <v>0</v>
      </c>
      <c r="O3" s="3">
        <f t="shared" ref="O3:O7" si="6">N3/M3-1</f>
        <v>-1</v>
      </c>
      <c r="P3" s="14">
        <f t="shared" ref="P3:P7" si="7">N3/J3-1</f>
        <v>-1</v>
      </c>
      <c r="Q3" s="3"/>
      <c r="R3" s="1">
        <f t="shared" si="0"/>
        <v>0.13840000000000002</v>
      </c>
      <c r="S3" s="26">
        <f t="shared" si="1"/>
        <v>1.6063999999999998</v>
      </c>
      <c r="T3" s="3"/>
      <c r="U3" s="3">
        <f t="shared" si="2"/>
        <v>10.606936416184968</v>
      </c>
      <c r="W3" s="32">
        <f t="shared" si="3"/>
        <v>1.0143800000000001</v>
      </c>
      <c r="X3" s="8">
        <f t="shared" si="4"/>
        <v>1.6163999999999998</v>
      </c>
      <c r="Z3" s="3">
        <f t="shared" si="5"/>
        <v>0.59348567597941582</v>
      </c>
    </row>
    <row r="4" spans="1:26" x14ac:dyDescent="0.25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26">
        <v>0.5</v>
      </c>
      <c r="O4" s="3">
        <f t="shared" si="6"/>
        <v>-0.26470588235294124</v>
      </c>
      <c r="P4" s="14">
        <f t="shared" si="7"/>
        <v>-0.74696356275303644</v>
      </c>
      <c r="Q4" s="3"/>
      <c r="R4" s="1">
        <f t="shared" si="0"/>
        <v>0.1195</v>
      </c>
      <c r="S4" s="26">
        <f t="shared" si="1"/>
        <v>6.5259999999999998</v>
      </c>
      <c r="T4" s="3"/>
      <c r="U4" s="3">
        <f t="shared" si="2"/>
        <v>53.610878661087867</v>
      </c>
      <c r="W4" s="32">
        <f t="shared" si="3"/>
        <v>5.5029399999999997</v>
      </c>
      <c r="X4" s="8">
        <f t="shared" si="4"/>
        <v>7.2059999999999995</v>
      </c>
      <c r="Z4" s="3">
        <f t="shared" si="5"/>
        <v>0.30948184061610706</v>
      </c>
    </row>
    <row r="5" spans="1:26" x14ac:dyDescent="0.25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26">
        <v>1.5</v>
      </c>
      <c r="O5" s="3">
        <f t="shared" si="6"/>
        <v>1.3513513513513598E-2</v>
      </c>
      <c r="P5" s="14">
        <f t="shared" si="7"/>
        <v>0.36363636363636354</v>
      </c>
      <c r="Q5" s="3"/>
      <c r="R5" s="1">
        <f t="shared" si="0"/>
        <v>0.87619999999999998</v>
      </c>
      <c r="S5" s="26">
        <f t="shared" si="1"/>
        <v>4.16</v>
      </c>
      <c r="T5" s="3"/>
      <c r="U5" s="3">
        <f t="shared" si="2"/>
        <v>3.7477744807121667</v>
      </c>
      <c r="W5" s="32">
        <f t="shared" si="3"/>
        <v>3.4322600000000003</v>
      </c>
      <c r="X5" s="8">
        <f t="shared" si="4"/>
        <v>5.6400000000000006</v>
      </c>
      <c r="Z5" s="3">
        <f t="shared" si="5"/>
        <v>0.64323215607209239</v>
      </c>
    </row>
    <row r="6" spans="1:26" x14ac:dyDescent="0.25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26">
        <v>0.04</v>
      </c>
      <c r="O6" s="3">
        <f t="shared" si="6"/>
        <v>-0.20000000000000007</v>
      </c>
      <c r="P6" s="14">
        <f t="shared" si="7"/>
        <v>0.48148148148148162</v>
      </c>
      <c r="Q6" s="3"/>
      <c r="R6" s="1">
        <f t="shared" si="0"/>
        <v>0.13866000000000001</v>
      </c>
      <c r="S6" s="26">
        <f t="shared" si="1"/>
        <v>0.52700000000000002</v>
      </c>
      <c r="T6" s="3"/>
      <c r="U6" s="3">
        <f t="shared" si="2"/>
        <v>2.8006634934371846</v>
      </c>
      <c r="W6" s="32">
        <f t="shared" si="3"/>
        <v>0.62708999999999993</v>
      </c>
      <c r="X6" s="8">
        <f t="shared" si="4"/>
        <v>0.57700000000000007</v>
      </c>
      <c r="Z6" s="3">
        <f t="shared" si="5"/>
        <v>-7.9876891674241168E-2</v>
      </c>
    </row>
    <row r="7" spans="1:26" s="4" customFormat="1" ht="15.6" x14ac:dyDescent="0.3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N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0">
        <f t="shared" si="9"/>
        <v>2.04</v>
      </c>
      <c r="O7" s="5">
        <f t="shared" si="6"/>
        <v>-0.11304347826086947</v>
      </c>
      <c r="P7" s="5">
        <f t="shared" si="7"/>
        <v>-0.52173301448867637</v>
      </c>
      <c r="Q7" s="5"/>
      <c r="R7" s="4">
        <f t="shared" si="0"/>
        <v>1.84856</v>
      </c>
      <c r="S7" s="40">
        <f t="shared" si="1"/>
        <v>13.605400000000001</v>
      </c>
      <c r="T7" s="5"/>
      <c r="U7" s="5">
        <f t="shared" si="2"/>
        <v>6.3599991344614191</v>
      </c>
      <c r="W7" s="31">
        <f t="shared" si="3"/>
        <v>12.83417</v>
      </c>
      <c r="X7" s="7">
        <f t="shared" si="4"/>
        <v>15.9054</v>
      </c>
      <c r="Z7" s="5">
        <f t="shared" si="5"/>
        <v>0.23930102219309846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1"/>
  <sheetViews>
    <sheetView zoomScalePageLayoutView="120" workbookViewId="0">
      <pane xSplit="1" ySplit="1" topLeftCell="L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34.54296875" style="17" bestFit="1" customWidth="1"/>
    <col min="2" max="21" width="7" style="17" bestFit="1" customWidth="1"/>
    <col min="22" max="22" width="7" style="19" customWidth="1"/>
    <col min="23" max="16384" width="10.54296875" style="17"/>
  </cols>
  <sheetData>
    <row r="1" spans="1:25" s="16" customFormat="1" ht="15.6" x14ac:dyDescent="0.3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153</v>
      </c>
      <c r="Q1" s="16" t="s">
        <v>157</v>
      </c>
      <c r="R1" s="16" t="s">
        <v>158</v>
      </c>
      <c r="S1" s="16" t="s">
        <v>160</v>
      </c>
      <c r="T1" s="16" t="s">
        <v>163</v>
      </c>
      <c r="U1" s="16" t="s">
        <v>165</v>
      </c>
      <c r="V1" s="18" t="s">
        <v>169</v>
      </c>
      <c r="X1" s="5" t="s">
        <v>78</v>
      </c>
      <c r="Y1" s="5" t="s">
        <v>77</v>
      </c>
    </row>
    <row r="2" spans="1:25" s="11" customFormat="1" ht="15.6" x14ac:dyDescent="0.3">
      <c r="A2" s="11" t="s">
        <v>4</v>
      </c>
      <c r="G2" s="12"/>
    </row>
    <row r="3" spans="1:25" x14ac:dyDescent="0.25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9">
        <v>607</v>
      </c>
      <c r="X3" s="14">
        <f>V3/U3-1</f>
        <v>-1.1400651465798051E-2</v>
      </c>
      <c r="Y3" s="14">
        <f>V3/R3-1</f>
        <v>2.7072758037224975E-2</v>
      </c>
    </row>
    <row r="4" spans="1:25" s="11" customFormat="1" ht="15.6" x14ac:dyDescent="0.3">
      <c r="A4" s="11" t="s">
        <v>126</v>
      </c>
      <c r="G4" s="12"/>
    </row>
    <row r="5" spans="1:25" s="28" customFormat="1" x14ac:dyDescent="0.25">
      <c r="A5" s="27" t="s">
        <v>5</v>
      </c>
      <c r="B5" s="28">
        <v>0.38</v>
      </c>
      <c r="C5" s="28">
        <v>0.4</v>
      </c>
      <c r="D5" s="28">
        <v>0.39</v>
      </c>
      <c r="E5" s="28">
        <v>0.41</v>
      </c>
      <c r="F5" s="28">
        <v>0.42</v>
      </c>
      <c r="G5" s="28">
        <v>0.42</v>
      </c>
      <c r="H5" s="28">
        <v>0.41</v>
      </c>
      <c r="I5" s="28">
        <v>0.44</v>
      </c>
      <c r="J5" s="28">
        <v>0.44</v>
      </c>
      <c r="K5" s="28">
        <v>0.44</v>
      </c>
      <c r="L5" s="28">
        <v>0.43</v>
      </c>
      <c r="M5" s="28">
        <v>0.45</v>
      </c>
      <c r="N5" s="28">
        <v>0.45</v>
      </c>
      <c r="O5" s="28">
        <v>0.46</v>
      </c>
      <c r="P5" s="28">
        <v>0.47</v>
      </c>
      <c r="Q5" s="28">
        <v>0.49</v>
      </c>
      <c r="R5" s="28">
        <v>0.5</v>
      </c>
      <c r="S5" s="28">
        <v>0.51</v>
      </c>
      <c r="T5" s="28">
        <v>0.52</v>
      </c>
      <c r="U5" s="28">
        <v>0.52</v>
      </c>
      <c r="V5" s="29">
        <v>0.51</v>
      </c>
      <c r="X5" s="14">
        <f>V5-U5</f>
        <v>-1.0000000000000009E-2</v>
      </c>
      <c r="Y5" s="14">
        <f>V5-R5</f>
        <v>1.0000000000000009E-2</v>
      </c>
    </row>
    <row r="6" spans="1:25" s="28" customFormat="1" x14ac:dyDescent="0.25">
      <c r="A6" s="27" t="s">
        <v>6</v>
      </c>
      <c r="B6" s="28">
        <v>0.33</v>
      </c>
      <c r="C6" s="28">
        <v>0.32</v>
      </c>
      <c r="D6" s="28">
        <v>0.33</v>
      </c>
      <c r="E6" s="28">
        <v>0.33</v>
      </c>
      <c r="F6" s="28">
        <v>0.34</v>
      </c>
      <c r="G6" s="28">
        <v>0.34</v>
      </c>
      <c r="H6" s="28">
        <v>0.36</v>
      </c>
      <c r="I6" s="28">
        <v>0.34</v>
      </c>
      <c r="J6" s="28">
        <v>0.36</v>
      </c>
      <c r="K6" s="28">
        <v>0.36</v>
      </c>
      <c r="L6" s="28">
        <v>0.35</v>
      </c>
      <c r="M6" s="28">
        <v>0.35</v>
      </c>
      <c r="N6" s="28">
        <v>0.35</v>
      </c>
      <c r="O6" s="28">
        <v>0.35</v>
      </c>
      <c r="P6" s="28">
        <v>0.34</v>
      </c>
      <c r="Q6" s="28">
        <v>0.33</v>
      </c>
      <c r="R6" s="28">
        <v>0.32</v>
      </c>
      <c r="S6" s="28">
        <v>0.31</v>
      </c>
      <c r="T6" s="28">
        <v>0.31</v>
      </c>
      <c r="U6" s="28">
        <v>0.31</v>
      </c>
      <c r="V6" s="29">
        <v>0.32</v>
      </c>
      <c r="X6" s="14">
        <f t="shared" ref="X6:X8" si="0">V6-U6</f>
        <v>1.0000000000000009E-2</v>
      </c>
      <c r="Y6" s="14">
        <f t="shared" ref="Y6:Y8" si="1">V6-R6</f>
        <v>0</v>
      </c>
    </row>
    <row r="7" spans="1:25" s="28" customFormat="1" x14ac:dyDescent="0.25">
      <c r="A7" s="27" t="s">
        <v>7</v>
      </c>
      <c r="B7" s="28">
        <v>0.24</v>
      </c>
      <c r="C7" s="28">
        <v>0.23</v>
      </c>
      <c r="D7" s="28">
        <v>0.24</v>
      </c>
      <c r="E7" s="28">
        <v>0.22</v>
      </c>
      <c r="F7" s="28">
        <v>0.2</v>
      </c>
      <c r="G7" s="28">
        <v>0.2</v>
      </c>
      <c r="H7" s="28">
        <v>0.19</v>
      </c>
      <c r="I7" s="28">
        <v>0.18</v>
      </c>
      <c r="J7" s="28">
        <v>0.16</v>
      </c>
      <c r="K7" s="28">
        <v>0.16</v>
      </c>
      <c r="L7" s="28">
        <v>0.17</v>
      </c>
      <c r="M7" s="28">
        <v>0.16</v>
      </c>
      <c r="N7" s="28">
        <v>0.16</v>
      </c>
      <c r="O7" s="28">
        <v>0.15</v>
      </c>
      <c r="P7" s="28">
        <v>0.15</v>
      </c>
      <c r="Q7" s="28">
        <v>0.13</v>
      </c>
      <c r="R7" s="28">
        <v>0.13</v>
      </c>
      <c r="S7" s="28">
        <v>0.13</v>
      </c>
      <c r="T7" s="28">
        <v>0.13</v>
      </c>
      <c r="U7" s="28">
        <v>0.13</v>
      </c>
      <c r="V7" s="29">
        <v>0.13</v>
      </c>
      <c r="X7" s="14">
        <f t="shared" si="0"/>
        <v>0</v>
      </c>
      <c r="Y7" s="14">
        <f t="shared" si="1"/>
        <v>0</v>
      </c>
    </row>
    <row r="8" spans="1:25" s="28" customFormat="1" x14ac:dyDescent="0.25">
      <c r="A8" s="30" t="s">
        <v>8</v>
      </c>
      <c r="B8" s="28">
        <v>0.05</v>
      </c>
      <c r="C8" s="28">
        <v>0.05</v>
      </c>
      <c r="D8" s="28">
        <v>0.04</v>
      </c>
      <c r="E8" s="28">
        <v>0.04</v>
      </c>
      <c r="F8" s="28">
        <v>0.04</v>
      </c>
      <c r="G8" s="28">
        <v>0.04</v>
      </c>
      <c r="H8" s="28">
        <v>0.04</v>
      </c>
      <c r="I8" s="28">
        <v>0.04</v>
      </c>
      <c r="J8" s="28">
        <v>0.04</v>
      </c>
      <c r="K8" s="28">
        <v>0.04</v>
      </c>
      <c r="L8" s="28">
        <v>0.05</v>
      </c>
      <c r="M8" s="28">
        <v>0.04</v>
      </c>
      <c r="N8" s="28">
        <v>0.04</v>
      </c>
      <c r="O8" s="28">
        <v>0.04</v>
      </c>
      <c r="P8" s="28">
        <v>0.04</v>
      </c>
      <c r="Q8" s="28">
        <v>0.05</v>
      </c>
      <c r="R8" s="28">
        <v>0.05</v>
      </c>
      <c r="S8" s="28">
        <v>0.05</v>
      </c>
      <c r="T8" s="28">
        <v>0.04</v>
      </c>
      <c r="U8" s="28">
        <v>0.04</v>
      </c>
      <c r="V8" s="29">
        <v>0.04</v>
      </c>
      <c r="X8" s="14">
        <f t="shared" si="0"/>
        <v>0</v>
      </c>
      <c r="Y8" s="14">
        <f t="shared" si="1"/>
        <v>-1.0000000000000002E-2</v>
      </c>
    </row>
    <row r="9" spans="1:25" s="11" customFormat="1" ht="15.6" x14ac:dyDescent="0.3">
      <c r="A9" s="11" t="s">
        <v>127</v>
      </c>
      <c r="G9" s="12"/>
    </row>
    <row r="10" spans="1:25" s="28" customFormat="1" x14ac:dyDescent="0.25">
      <c r="A10" s="27" t="s">
        <v>9</v>
      </c>
      <c r="B10" s="28">
        <v>0.44</v>
      </c>
      <c r="C10" s="28">
        <v>0.45</v>
      </c>
      <c r="D10" s="28">
        <v>0.44</v>
      </c>
      <c r="E10" s="28">
        <v>0.43</v>
      </c>
      <c r="F10" s="28">
        <v>0.43</v>
      </c>
      <c r="G10" s="28">
        <v>0.44</v>
      </c>
      <c r="H10" s="28">
        <v>0.43</v>
      </c>
      <c r="I10" s="28">
        <v>0.43</v>
      </c>
      <c r="J10" s="28">
        <v>0.42</v>
      </c>
      <c r="K10" s="28">
        <v>0.42</v>
      </c>
      <c r="L10" s="28">
        <v>0.39</v>
      </c>
      <c r="M10" s="28">
        <v>0.42</v>
      </c>
      <c r="N10" s="28">
        <v>0.41</v>
      </c>
      <c r="O10" s="28">
        <v>0.41</v>
      </c>
      <c r="P10" s="28">
        <v>0.42</v>
      </c>
      <c r="Q10" s="28">
        <v>0.41</v>
      </c>
      <c r="R10" s="28">
        <v>0.4</v>
      </c>
      <c r="S10" s="28">
        <v>0.4</v>
      </c>
      <c r="T10" s="28">
        <v>0.39</v>
      </c>
      <c r="U10" s="28">
        <v>0.39</v>
      </c>
      <c r="V10" s="29">
        <v>0.4</v>
      </c>
      <c r="X10" s="14">
        <f>V10-U10</f>
        <v>1.0000000000000009E-2</v>
      </c>
      <c r="Y10" s="14">
        <f>V10-R10</f>
        <v>0</v>
      </c>
    </row>
    <row r="11" spans="1:25" s="28" customFormat="1" x14ac:dyDescent="0.25">
      <c r="A11" s="27" t="s">
        <v>10</v>
      </c>
      <c r="B11" s="28">
        <v>0.56000000000000005</v>
      </c>
      <c r="C11" s="28">
        <v>0.55000000000000004</v>
      </c>
      <c r="D11" s="28">
        <v>0.56000000000000005</v>
      </c>
      <c r="E11" s="28">
        <v>0.56999999999999995</v>
      </c>
      <c r="F11" s="28">
        <v>0.56999999999999995</v>
      </c>
      <c r="G11" s="28">
        <v>0.56000000000000005</v>
      </c>
      <c r="H11" s="28">
        <v>0.56999999999999995</v>
      </c>
      <c r="I11" s="28">
        <v>0.56999999999999995</v>
      </c>
      <c r="J11" s="28">
        <v>0.57999999999999996</v>
      </c>
      <c r="K11" s="28">
        <v>0.57999999999999996</v>
      </c>
      <c r="L11" s="28">
        <v>0.61</v>
      </c>
      <c r="M11" s="28">
        <v>0.57999999999999996</v>
      </c>
      <c r="N11" s="28">
        <v>0.59</v>
      </c>
      <c r="O11" s="28">
        <v>0.59</v>
      </c>
      <c r="P11" s="28">
        <v>0.57999999999999996</v>
      </c>
      <c r="Q11" s="28">
        <v>0.59</v>
      </c>
      <c r="R11" s="28">
        <v>0.6</v>
      </c>
      <c r="S11" s="28">
        <v>0.6</v>
      </c>
      <c r="T11" s="28">
        <v>0.61</v>
      </c>
      <c r="U11" s="28">
        <v>0.61</v>
      </c>
      <c r="V11" s="29">
        <v>0.6</v>
      </c>
      <c r="X11" s="14">
        <f>V11-U11</f>
        <v>-1.0000000000000009E-2</v>
      </c>
      <c r="Y11" s="14">
        <f>V11-R11</f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20" customWidth="1"/>
    <col min="3" max="3" width="27.81640625" style="3" customWidth="1"/>
  </cols>
  <sheetData>
    <row r="1" spans="1:3" s="21" customFormat="1" ht="15.6" x14ac:dyDescent="0.3">
      <c r="A1" s="23" t="s">
        <v>171</v>
      </c>
      <c r="B1" s="22" t="s">
        <v>131</v>
      </c>
      <c r="C1" s="5" t="s">
        <v>132</v>
      </c>
    </row>
    <row r="2" spans="1:3" x14ac:dyDescent="0.25">
      <c r="A2" t="s">
        <v>0</v>
      </c>
      <c r="B2" s="20">
        <v>2670610</v>
      </c>
      <c r="C2" s="3">
        <f>B2/B$6</f>
        <v>0.37099173863697926</v>
      </c>
    </row>
    <row r="3" spans="1:3" x14ac:dyDescent="0.25">
      <c r="A3" t="s">
        <v>1</v>
      </c>
      <c r="B3" s="20">
        <v>1120000</v>
      </c>
      <c r="C3" s="3">
        <f>B3/B$6</f>
        <v>0.15558645675460542</v>
      </c>
    </row>
    <row r="4" spans="1:3" x14ac:dyDescent="0.25">
      <c r="A4" t="s">
        <v>3</v>
      </c>
      <c r="B4" s="20">
        <v>1266810</v>
      </c>
      <c r="C4" s="3">
        <f>B4/B$6</f>
        <v>0.1759807850725908</v>
      </c>
    </row>
    <row r="5" spans="1:3" x14ac:dyDescent="0.25">
      <c r="A5" t="s">
        <v>2</v>
      </c>
      <c r="B5" s="20">
        <v>2141150</v>
      </c>
      <c r="C5" s="3">
        <f>B5/B$6</f>
        <v>0.29744101953582447</v>
      </c>
    </row>
    <row r="6" spans="1:3" s="21" customFormat="1" ht="15.6" x14ac:dyDescent="0.3">
      <c r="A6" s="21" t="s">
        <v>130</v>
      </c>
      <c r="B6" s="22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Małgorzata Konys</cp:lastModifiedBy>
  <dcterms:created xsi:type="dcterms:W3CDTF">2017-05-04T17:59:23Z</dcterms:created>
  <dcterms:modified xsi:type="dcterms:W3CDTF">2019-05-30T20:47:35Z</dcterms:modified>
  <cp:category/>
</cp:coreProperties>
</file>